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440" windowHeight="7830"/>
  </bookViews>
  <sheets>
    <sheet name="DERSLER-2025-2026" sheetId="5" r:id="rId1"/>
    <sheet name="NORM-KOORD.2025-2026" sheetId="6" r:id="rId2"/>
  </sheets>
  <definedNames>
    <definedName name="_xlnm.Print_Area" localSheetId="0">'DERSLER-2025-2026'!$A$1:$AC$89</definedName>
    <definedName name="_xlnm.Print_Area" localSheetId="1">'NORM-KOORD.2025-2026'!$A$1:$T$31</definedName>
  </definedNames>
  <calcPr calcId="145621"/>
</workbook>
</file>

<file path=xl/calcChain.xml><?xml version="1.0" encoding="utf-8"?>
<calcChain xmlns="http://schemas.openxmlformats.org/spreadsheetml/2006/main">
  <c r="Y89" i="5" l="1"/>
  <c r="X89" i="5"/>
  <c r="Z89" i="5"/>
  <c r="W89" i="5"/>
  <c r="V89" i="5"/>
  <c r="AA89" i="5"/>
  <c r="M89" i="5"/>
  <c r="G13" i="6" l="1"/>
  <c r="M4" i="6"/>
  <c r="L5" i="6"/>
  <c r="M5" i="6"/>
  <c r="M6" i="6" s="1"/>
  <c r="M3" i="6"/>
  <c r="L4" i="6"/>
  <c r="L3" i="6"/>
  <c r="V48" i="5" l="1"/>
  <c r="AB8" i="5"/>
  <c r="AA55" i="5"/>
  <c r="Z55" i="5" s="1"/>
  <c r="Z71" i="5" s="1"/>
  <c r="AA71" i="5" l="1"/>
  <c r="AA77" i="5" s="1"/>
  <c r="Z3" i="5"/>
  <c r="W8" i="5"/>
  <c r="AB3" i="5"/>
  <c r="Z26" i="5"/>
  <c r="Z21" i="5"/>
  <c r="Z14" i="5"/>
  <c r="Z70" i="5"/>
  <c r="I23" i="6" l="1"/>
  <c r="D37" i="6"/>
  <c r="F13" i="6" l="1"/>
  <c r="F12" i="6"/>
  <c r="F11" i="6"/>
  <c r="F14" i="6" s="1"/>
  <c r="I4" i="6" l="1"/>
  <c r="D35" i="6" l="1"/>
  <c r="K4" i="6" l="1"/>
  <c r="J12" i="6" s="1"/>
  <c r="F44" i="5" l="1"/>
  <c r="P44" i="5"/>
  <c r="K44" i="5"/>
  <c r="Q44" i="5" l="1"/>
  <c r="V79" i="5" l="1"/>
  <c r="V24" i="5"/>
  <c r="V13" i="5"/>
  <c r="V7" i="5"/>
  <c r="U79" i="5" s="1"/>
  <c r="Q17" i="5" l="1"/>
  <c r="W80" i="5"/>
  <c r="I5" i="6"/>
  <c r="I3" i="6"/>
  <c r="C44" i="6"/>
  <c r="B44" i="6"/>
  <c r="P69" i="5"/>
  <c r="K69" i="5"/>
  <c r="Q69" i="5" l="1"/>
  <c r="V19" i="5"/>
  <c r="H72" i="5"/>
  <c r="M72" i="5"/>
  <c r="C72" i="5"/>
  <c r="D30" i="6"/>
  <c r="G11" i="6" l="1"/>
  <c r="I18" i="6"/>
  <c r="I22" i="6" s="1"/>
  <c r="I29" i="6" s="1"/>
  <c r="X62" i="5"/>
  <c r="O4" i="6"/>
  <c r="C23" i="5" l="1"/>
  <c r="P21" i="5"/>
  <c r="K21" i="5"/>
  <c r="F21" i="5"/>
  <c r="Q21" i="5" l="1"/>
  <c r="V54" i="5"/>
  <c r="D23" i="6" l="1"/>
  <c r="D22" i="6"/>
  <c r="X79" i="5" l="1"/>
  <c r="F43" i="5" l="1"/>
  <c r="V38" i="5" s="1"/>
  <c r="O3" i="6" l="1"/>
  <c r="X57" i="5"/>
  <c r="P43" i="5"/>
  <c r="P65" i="5"/>
  <c r="K43" i="5" l="1"/>
  <c r="Q43" i="5" s="1"/>
  <c r="D39" i="6" l="1"/>
  <c r="D31" i="6"/>
  <c r="P20" i="5" l="1"/>
  <c r="K20" i="5"/>
  <c r="V42" i="5" s="1"/>
  <c r="F20" i="5"/>
  <c r="V34" i="5" s="1"/>
  <c r="Q20" i="5" l="1"/>
  <c r="D24" i="6"/>
  <c r="AA70" i="5" l="1"/>
  <c r="F84" i="5" l="1"/>
  <c r="P85" i="5"/>
  <c r="P86" i="5"/>
  <c r="P87" i="5"/>
  <c r="F86" i="5" l="1"/>
  <c r="Q86" i="5" s="1"/>
  <c r="D19" i="6" l="1"/>
  <c r="D20" i="6"/>
  <c r="D21" i="6"/>
  <c r="D25" i="6"/>
  <c r="D26" i="6"/>
  <c r="D27" i="6"/>
  <c r="D28" i="6"/>
  <c r="D29" i="6"/>
  <c r="D32" i="6"/>
  <c r="D33" i="6"/>
  <c r="D34" i="6"/>
  <c r="D36" i="6"/>
  <c r="D38" i="6"/>
  <c r="D18" i="6"/>
  <c r="E25" i="6" l="1"/>
  <c r="H13" i="6" s="1"/>
  <c r="E18" i="6"/>
  <c r="E19" i="6"/>
  <c r="D44" i="6"/>
  <c r="H11" i="6"/>
  <c r="AB73" i="5"/>
  <c r="AC73" i="5" s="1"/>
  <c r="E43" i="6" l="1"/>
  <c r="H12" i="6"/>
  <c r="O5" i="6" l="1"/>
  <c r="X66" i="5" l="1"/>
  <c r="X70" i="5" s="1"/>
  <c r="X85" i="5" s="1"/>
  <c r="I6" i="6"/>
  <c r="Z66" i="5" l="1"/>
  <c r="Z62" i="5"/>
  <c r="Z57" i="5"/>
  <c r="F68" i="5" l="1"/>
  <c r="F70" i="5"/>
  <c r="P70" i="5"/>
  <c r="P68" i="5"/>
  <c r="P61" i="5"/>
  <c r="P62" i="5"/>
  <c r="P57" i="5"/>
  <c r="K68" i="5"/>
  <c r="K70" i="5"/>
  <c r="K62" i="5"/>
  <c r="K60" i="5"/>
  <c r="K61" i="5"/>
  <c r="P56" i="5"/>
  <c r="K56" i="5"/>
  <c r="F56" i="5"/>
  <c r="M14" i="6"/>
  <c r="O13" i="6"/>
  <c r="G12" i="6"/>
  <c r="N11" i="6"/>
  <c r="O11" i="6" s="1"/>
  <c r="N6" i="6"/>
  <c r="L6" i="6"/>
  <c r="G6" i="6"/>
  <c r="F6" i="6"/>
  <c r="M88" i="5"/>
  <c r="H88" i="5"/>
  <c r="C88" i="5"/>
  <c r="K87" i="5"/>
  <c r="F87" i="5"/>
  <c r="F85" i="5"/>
  <c r="P84" i="5"/>
  <c r="K84" i="5"/>
  <c r="V65" i="5" s="1"/>
  <c r="P83" i="5"/>
  <c r="K83" i="5"/>
  <c r="F83" i="5"/>
  <c r="P80" i="5"/>
  <c r="K80" i="5"/>
  <c r="F80" i="5"/>
  <c r="P78" i="5"/>
  <c r="K78" i="5"/>
  <c r="F78" i="5"/>
  <c r="P77" i="5"/>
  <c r="K77" i="5"/>
  <c r="F77" i="5"/>
  <c r="P76" i="5"/>
  <c r="K76" i="5"/>
  <c r="F76" i="5"/>
  <c r="AB76" i="5"/>
  <c r="AC76" i="5" s="1"/>
  <c r="AB75" i="5"/>
  <c r="AC75" i="5" s="1"/>
  <c r="AB74" i="5"/>
  <c r="AC74" i="5" s="1"/>
  <c r="AB72" i="5"/>
  <c r="AC72" i="5" s="1"/>
  <c r="P67" i="5"/>
  <c r="K67" i="5"/>
  <c r="P66" i="5"/>
  <c r="K66" i="5"/>
  <c r="F66" i="5"/>
  <c r="K65" i="5"/>
  <c r="F65" i="5"/>
  <c r="AB66" i="5"/>
  <c r="AC66" i="5" s="1"/>
  <c r="P60" i="5"/>
  <c r="F60" i="5"/>
  <c r="AB62" i="5"/>
  <c r="AC62" i="5" s="1"/>
  <c r="P59" i="5"/>
  <c r="K59" i="5"/>
  <c r="P58" i="5"/>
  <c r="K58" i="5"/>
  <c r="F58" i="5"/>
  <c r="K57" i="5"/>
  <c r="F57" i="5"/>
  <c r="P55" i="5"/>
  <c r="K55" i="5"/>
  <c r="F55" i="5"/>
  <c r="AB57" i="5"/>
  <c r="AC57" i="5" s="1"/>
  <c r="P54" i="5"/>
  <c r="K54" i="5"/>
  <c r="F54" i="5"/>
  <c r="P53" i="5"/>
  <c r="K53" i="5"/>
  <c r="F53" i="5"/>
  <c r="P52" i="5"/>
  <c r="K52" i="5"/>
  <c r="F52" i="5"/>
  <c r="P51" i="5"/>
  <c r="K51" i="5"/>
  <c r="F51" i="5"/>
  <c r="P50" i="5"/>
  <c r="K50" i="5"/>
  <c r="F50" i="5"/>
  <c r="AB50" i="5"/>
  <c r="AC50" i="5" s="1"/>
  <c r="AB49" i="5"/>
  <c r="AC49" i="5" s="1"/>
  <c r="M46" i="5"/>
  <c r="H46" i="5"/>
  <c r="C46" i="5"/>
  <c r="P45" i="5"/>
  <c r="K45" i="5"/>
  <c r="F45" i="5"/>
  <c r="P41" i="5"/>
  <c r="K41" i="5"/>
  <c r="P40" i="5"/>
  <c r="K40" i="5"/>
  <c r="P39" i="5"/>
  <c r="K39" i="5"/>
  <c r="F39" i="5"/>
  <c r="P38" i="5"/>
  <c r="K38" i="5"/>
  <c r="F38" i="5"/>
  <c r="P37" i="5"/>
  <c r="K37" i="5"/>
  <c r="F37" i="5"/>
  <c r="P36" i="5"/>
  <c r="K36" i="5"/>
  <c r="F36" i="5"/>
  <c r="P35" i="5"/>
  <c r="K35" i="5"/>
  <c r="F35" i="5"/>
  <c r="P34" i="5"/>
  <c r="K34" i="5"/>
  <c r="F34" i="5"/>
  <c r="P33" i="5"/>
  <c r="K33" i="5"/>
  <c r="F33" i="5"/>
  <c r="P32" i="5"/>
  <c r="K32" i="5"/>
  <c r="F32" i="5"/>
  <c r="P31" i="5"/>
  <c r="K31" i="5"/>
  <c r="F31" i="5"/>
  <c r="P30" i="5"/>
  <c r="K30" i="5"/>
  <c r="F30" i="5"/>
  <c r="P29" i="5"/>
  <c r="K29" i="5"/>
  <c r="F29" i="5"/>
  <c r="P28" i="5"/>
  <c r="K28" i="5"/>
  <c r="F28" i="5"/>
  <c r="P27" i="5"/>
  <c r="K27" i="5"/>
  <c r="F27" i="5"/>
  <c r="V4" i="5" s="1"/>
  <c r="M23" i="5"/>
  <c r="H23" i="5"/>
  <c r="P18" i="5"/>
  <c r="K18" i="5"/>
  <c r="F18" i="5"/>
  <c r="P16" i="5"/>
  <c r="K16" i="5"/>
  <c r="F16" i="5"/>
  <c r="P15" i="5"/>
  <c r="K15" i="5"/>
  <c r="N89" i="5" s="1"/>
  <c r="F15" i="5"/>
  <c r="V58" i="5" s="1"/>
  <c r="P14" i="5"/>
  <c r="O89" i="5" s="1"/>
  <c r="K14" i="5"/>
  <c r="F14" i="5"/>
  <c r="P19" i="5"/>
  <c r="K19" i="5"/>
  <c r="F19" i="5"/>
  <c r="P13" i="5"/>
  <c r="K13" i="5"/>
  <c r="F13" i="5"/>
  <c r="P12" i="5"/>
  <c r="K12" i="5"/>
  <c r="F12" i="5"/>
  <c r="P11" i="5"/>
  <c r="K11" i="5"/>
  <c r="F11" i="5"/>
  <c r="P10" i="5"/>
  <c r="K10" i="5"/>
  <c r="F10" i="5"/>
  <c r="P9" i="5"/>
  <c r="K9" i="5"/>
  <c r="F9" i="5"/>
  <c r="P8" i="5"/>
  <c r="K8" i="5"/>
  <c r="F8" i="5"/>
  <c r="P7" i="5"/>
  <c r="K7" i="5"/>
  <c r="F7" i="5"/>
  <c r="P6" i="5"/>
  <c r="K6" i="5"/>
  <c r="F6" i="5"/>
  <c r="P5" i="5"/>
  <c r="K5" i="5"/>
  <c r="F5" i="5"/>
  <c r="P4" i="5"/>
  <c r="K4" i="5"/>
  <c r="F4" i="5"/>
  <c r="Q89" i="5" l="1"/>
  <c r="Q18" i="5"/>
  <c r="V61" i="5"/>
  <c r="Q85" i="5"/>
  <c r="V68" i="5"/>
  <c r="R13" i="6" s="1"/>
  <c r="V66" i="5"/>
  <c r="V59" i="5"/>
  <c r="E11" i="6" s="1"/>
  <c r="K11" i="6" s="1"/>
  <c r="V67" i="5"/>
  <c r="Q84" i="5"/>
  <c r="V69" i="5"/>
  <c r="Q15" i="5"/>
  <c r="Q19" i="5"/>
  <c r="R21" i="5" s="1"/>
  <c r="Q14" i="5"/>
  <c r="Q16" i="5"/>
  <c r="V53" i="5"/>
  <c r="V5" i="5"/>
  <c r="Q65" i="5"/>
  <c r="V23" i="5"/>
  <c r="V62" i="5"/>
  <c r="V28" i="5"/>
  <c r="Q67" i="5"/>
  <c r="V63" i="5"/>
  <c r="R8" i="6" s="1"/>
  <c r="T8" i="6" s="1"/>
  <c r="V60" i="5"/>
  <c r="R11" i="6" s="1"/>
  <c r="T11" i="6" s="1"/>
  <c r="Q70" i="5"/>
  <c r="V64" i="5"/>
  <c r="R12" i="6" s="1"/>
  <c r="T12" i="6" s="1"/>
  <c r="V41" i="5"/>
  <c r="Q66" i="5"/>
  <c r="Q68" i="5"/>
  <c r="P72" i="5"/>
  <c r="K72" i="5"/>
  <c r="R70" i="5"/>
  <c r="W82" i="5" s="1"/>
  <c r="Q45" i="5"/>
  <c r="R45" i="5" s="1"/>
  <c r="R9" i="6"/>
  <c r="T9" i="6" s="1"/>
  <c r="U87" i="5"/>
  <c r="Q61" i="5"/>
  <c r="R17" i="6"/>
  <c r="R15" i="6"/>
  <c r="T15" i="6" s="1"/>
  <c r="R16" i="6"/>
  <c r="Q59" i="5"/>
  <c r="Q56" i="5"/>
  <c r="Q50" i="5"/>
  <c r="Q52" i="5"/>
  <c r="V46" i="5" s="1"/>
  <c r="Q4" i="5"/>
  <c r="Q55" i="5"/>
  <c r="V31" i="5" s="1"/>
  <c r="Q77" i="5"/>
  <c r="V17" i="5" s="1"/>
  <c r="Q80" i="5"/>
  <c r="V47" i="5" s="1"/>
  <c r="Q83" i="5"/>
  <c r="Q54" i="5"/>
  <c r="V52" i="5" s="1"/>
  <c r="Q13" i="5"/>
  <c r="V29" i="5" s="1"/>
  <c r="Q62" i="5"/>
  <c r="Q51" i="5"/>
  <c r="V10" i="5" s="1"/>
  <c r="Q53" i="5"/>
  <c r="V16" i="5" s="1"/>
  <c r="Q58" i="5"/>
  <c r="Q60" i="5"/>
  <c r="Q12" i="5"/>
  <c r="V44" i="5" s="1"/>
  <c r="Q8" i="5"/>
  <c r="V21" i="5" s="1"/>
  <c r="Q29" i="5"/>
  <c r="V9" i="5" s="1"/>
  <c r="Q40" i="5"/>
  <c r="Q11" i="5"/>
  <c r="V39" i="5" s="1"/>
  <c r="Q41" i="5"/>
  <c r="Q87" i="5"/>
  <c r="R87" i="5" s="1"/>
  <c r="W83" i="5" s="1"/>
  <c r="Q57" i="5"/>
  <c r="Q78" i="5"/>
  <c r="V11" i="5" s="1"/>
  <c r="G14" i="6"/>
  <c r="N14" i="6"/>
  <c r="K23" i="5"/>
  <c r="Q35" i="5"/>
  <c r="V40" i="5" s="1"/>
  <c r="Q39" i="5"/>
  <c r="O12" i="6"/>
  <c r="K46" i="5"/>
  <c r="Q37" i="5"/>
  <c r="V30" i="5" s="1"/>
  <c r="Q28" i="5"/>
  <c r="V51" i="5" s="1"/>
  <c r="F72" i="5"/>
  <c r="Q9" i="5"/>
  <c r="V32" i="5" s="1"/>
  <c r="Q34" i="5"/>
  <c r="V37" i="5" s="1"/>
  <c r="F23" i="5"/>
  <c r="P88" i="5"/>
  <c r="Q33" i="5"/>
  <c r="V33" i="5" s="1"/>
  <c r="Q36" i="5"/>
  <c r="V22" i="5" s="1"/>
  <c r="Q38" i="5"/>
  <c r="F88" i="5"/>
  <c r="Q5" i="5"/>
  <c r="V8" i="5" s="1"/>
  <c r="Q30" i="5"/>
  <c r="V15" i="5" s="1"/>
  <c r="Q7" i="5"/>
  <c r="V26" i="5" s="1"/>
  <c r="P23" i="5"/>
  <c r="Q10" i="5"/>
  <c r="V36" i="5" s="1"/>
  <c r="F46" i="5"/>
  <c r="Q32" i="5"/>
  <c r="V45" i="5" s="1"/>
  <c r="P46" i="5"/>
  <c r="Q6" i="5"/>
  <c r="V14" i="5" s="1"/>
  <c r="Q27" i="5"/>
  <c r="Q76" i="5"/>
  <c r="K88" i="5"/>
  <c r="Q31" i="5"/>
  <c r="V27" i="5" s="1"/>
  <c r="R13" i="5" l="1"/>
  <c r="U80" i="5" s="1"/>
  <c r="R84" i="5"/>
  <c r="V83" i="5" s="1"/>
  <c r="Q46" i="5"/>
  <c r="R37" i="5"/>
  <c r="R41" i="5"/>
  <c r="V81" i="5" s="1"/>
  <c r="V12" i="5"/>
  <c r="R15" i="5"/>
  <c r="V80" i="5" s="1"/>
  <c r="U83" i="5"/>
  <c r="W14" i="5"/>
  <c r="W21" i="5"/>
  <c r="V3" i="5"/>
  <c r="Q23" i="5"/>
  <c r="W39" i="5"/>
  <c r="Z39" i="5" s="1"/>
  <c r="W32" i="5"/>
  <c r="Z32" i="5" s="1"/>
  <c r="W57" i="5"/>
  <c r="R64" i="5"/>
  <c r="V82" i="5" s="1"/>
  <c r="V6" i="5"/>
  <c r="W44" i="5"/>
  <c r="W81" i="5"/>
  <c r="W84" i="5" s="1"/>
  <c r="V56" i="5"/>
  <c r="W56" i="5" s="1"/>
  <c r="V35" i="5"/>
  <c r="W35" i="5" s="1"/>
  <c r="R69" i="5"/>
  <c r="W66" i="5"/>
  <c r="E13" i="6" s="1"/>
  <c r="K13" i="6" s="1"/>
  <c r="W62" i="5"/>
  <c r="E12" i="6" s="1"/>
  <c r="K12" i="6" s="1"/>
  <c r="Q72" i="5"/>
  <c r="R56" i="5"/>
  <c r="W26" i="5"/>
  <c r="W51" i="5"/>
  <c r="Z51" i="5" s="1"/>
  <c r="AB51" i="5" s="1"/>
  <c r="W36" i="5"/>
  <c r="R5" i="6"/>
  <c r="T5" i="6" s="1"/>
  <c r="R4" i="6"/>
  <c r="V50" i="5"/>
  <c r="W50" i="5" s="1"/>
  <c r="V49" i="5"/>
  <c r="W49" i="5" s="1"/>
  <c r="W29" i="5"/>
  <c r="T17" i="6"/>
  <c r="R83" i="5"/>
  <c r="T16" i="6"/>
  <c r="R7" i="6"/>
  <c r="T7" i="6" s="1"/>
  <c r="R6" i="6" s="1"/>
  <c r="T6" i="6" s="1"/>
  <c r="H14" i="6"/>
  <c r="T13" i="6"/>
  <c r="V70" i="5"/>
  <c r="F15" i="6"/>
  <c r="R3" i="6"/>
  <c r="T3" i="6" s="1"/>
  <c r="Q88" i="5"/>
  <c r="R80" i="5"/>
  <c r="W3" i="5" l="1"/>
  <c r="U81" i="5"/>
  <c r="R46" i="5"/>
  <c r="U82" i="5"/>
  <c r="X82" i="5" s="1"/>
  <c r="R23" i="5"/>
  <c r="R72" i="5"/>
  <c r="X80" i="5"/>
  <c r="V55" i="5"/>
  <c r="V71" i="5" s="1"/>
  <c r="X83" i="5"/>
  <c r="W55" i="5"/>
  <c r="X81" i="5"/>
  <c r="Z29" i="5"/>
  <c r="AB29" i="5" s="1"/>
  <c r="K14" i="6"/>
  <c r="R21" i="6"/>
  <c r="R23" i="6"/>
  <c r="V84" i="5"/>
  <c r="AB14" i="5"/>
  <c r="AC14" i="5" s="1"/>
  <c r="AC8" i="5"/>
  <c r="R14" i="6"/>
  <c r="T14" i="6" s="1"/>
  <c r="W70" i="5"/>
  <c r="R88" i="5"/>
  <c r="AB39" i="5"/>
  <c r="AB44" i="5"/>
  <c r="AB21" i="5"/>
  <c r="L11" i="6"/>
  <c r="R10" i="6"/>
  <c r="L13" i="6"/>
  <c r="Y66" i="5"/>
  <c r="Y57" i="5"/>
  <c r="U84" i="5" l="1"/>
  <c r="X84" i="5" s="1"/>
  <c r="X86" i="5" s="1"/>
  <c r="Z36" i="5"/>
  <c r="AB32" i="5"/>
  <c r="T23" i="6"/>
  <c r="R28" i="6" s="1"/>
  <c r="T28" i="6" s="1"/>
  <c r="T10" i="6"/>
  <c r="AB26" i="5"/>
  <c r="T21" i="6"/>
  <c r="R26" i="6" s="1"/>
  <c r="T26" i="6" s="1"/>
  <c r="Z77" i="5" l="1"/>
  <c r="AB36" i="5"/>
  <c r="T4" i="6"/>
  <c r="R22" i="6" s="1"/>
  <c r="R24" i="6" s="1"/>
  <c r="R2" i="6" l="1"/>
  <c r="R18" i="6" s="1"/>
  <c r="E14" i="6"/>
  <c r="L12" i="6"/>
  <c r="Y62" i="5"/>
  <c r="Y70" i="5" s="1"/>
  <c r="Y71" i="5" s="1"/>
  <c r="T22" i="6" l="1"/>
  <c r="R27" i="6" s="1"/>
  <c r="T27" i="6" s="1"/>
  <c r="T2" i="6"/>
  <c r="T18" i="6" s="1"/>
  <c r="T24" i="6" l="1"/>
</calcChain>
</file>

<file path=xl/comments1.xml><?xml version="1.0" encoding="utf-8"?>
<comments xmlns="http://schemas.openxmlformats.org/spreadsheetml/2006/main">
  <authors>
    <author>User</author>
  </authors>
  <commentList>
    <comment ref="P57" authorId="0">
      <text>
        <r>
          <rPr>
            <b/>
            <sz val="9"/>
            <color indexed="81"/>
            <rFont val="Tahoma"/>
            <family val="2"/>
            <charset val="162"/>
          </rPr>
          <t>TTK. Öncelikli olarak yabancı dil öğretmeni okutur.</t>
        </r>
      </text>
    </comment>
    <comment ref="V58" authorId="0">
      <text>
        <r>
          <rPr>
            <b/>
            <sz val="9"/>
            <color indexed="81"/>
            <rFont val="Tahoma"/>
            <family val="2"/>
            <charset val="162"/>
          </rPr>
          <t>+PROJE DERSİ: BÜRO 4 SAAT</t>
        </r>
      </text>
    </comment>
    <comment ref="V59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+ Bilişim Tekno dersi: 14 saat
+ Türk Aile Dersi: 10 A-B BÜRO 4 saat
</t>
        </r>
      </text>
    </comment>
    <comment ref="V67" authorId="0">
      <text>
        <r>
          <rPr>
            <b/>
            <sz val="9"/>
            <color indexed="81"/>
            <rFont val="Tahoma"/>
            <family val="2"/>
            <charset val="162"/>
          </rPr>
          <t>+Aile dersi :  10 Muh bölümü 8 saat</t>
        </r>
      </text>
    </comment>
    <comment ref="U80" authorId="0">
      <text>
        <r>
          <rPr>
            <b/>
            <sz val="9"/>
            <color indexed="81"/>
            <rFont val="Tahoma"/>
            <family val="2"/>
            <charset val="162"/>
          </rPr>
          <t>9. SINIF 14+14 RESİM VE MÜZİK İLAVE EDİLDİ.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pc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162"/>
          </rPr>
          <t>MESEM ÖĞRENCİ SAYISINA GÖRE 2 GRUP VE HAFTADA 4 GÜN İLE ÇARPIMI 2*(4*8)=64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162"/>
          </rPr>
          <t>İHTİYAÇ YOK İKEN
İLÇE +3 ÖĞRETMEN GÖREVLENDİRME VERİLDİ.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E10" authorId="1">
      <text>
        <r>
          <rPr>
            <b/>
            <sz val="9"/>
            <color indexed="81"/>
            <rFont val="Tahoma"/>
            <family val="2"/>
            <charset val="162"/>
          </rPr>
          <t>NORM YÖNETMELİK MADDE 22-1-ç : AYRI FİZİKİ ORTAM, GRUP, FARKLI MAKİNA  YOK.</t>
        </r>
      </text>
    </comment>
    <comment ref="E11" authorId="1">
      <text>
        <r>
          <rPr>
            <b/>
            <sz val="9"/>
            <color indexed="81"/>
            <rFont val="Tahoma"/>
            <family val="2"/>
            <charset val="162"/>
          </rPr>
          <t>12. SINIF 7 SAAT DÜŞÜLDÜ, GRUP HESABINA KATILDI.</t>
        </r>
      </text>
    </comment>
    <comment ref="E12" authorId="1">
      <text>
        <r>
          <rPr>
            <b/>
            <sz val="9"/>
            <color indexed="81"/>
            <rFont val="Tahoma"/>
            <family val="2"/>
            <charset val="162"/>
          </rPr>
          <t>12. SINIF 14 SAAT DÜŞÜLDÜ, GRUP HESABINA KATILDI.</t>
        </r>
      </text>
    </comment>
    <comment ref="I12" authorId="0">
      <text>
        <r>
          <rPr>
            <b/>
            <sz val="9"/>
            <color indexed="81"/>
            <rFont val="Tahoma"/>
            <family val="2"/>
            <charset val="162"/>
          </rPr>
          <t>1 müdür, 1 Müdür Yard.</t>
        </r>
      </text>
    </comment>
    <comment ref="E13" authorId="1">
      <text>
        <r>
          <rPr>
            <b/>
            <sz val="9"/>
            <color indexed="81"/>
            <rFont val="Tahoma"/>
            <family val="2"/>
            <charset val="162"/>
          </rPr>
          <t>12.SINIF 7  SAAT DÜŞÜLDÜ, GRUP HESABINA KATILDI.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162"/>
          </rPr>
          <t>1 Müdür Yard.</t>
        </r>
      </text>
    </comment>
  </commentList>
</comments>
</file>

<file path=xl/sharedStrings.xml><?xml version="1.0" encoding="utf-8"?>
<sst xmlns="http://schemas.openxmlformats.org/spreadsheetml/2006/main" count="553" uniqueCount="281">
  <si>
    <t>DERS</t>
  </si>
  <si>
    <t>AÇIKLAMA</t>
  </si>
  <si>
    <t>BİLİŞİM</t>
  </si>
  <si>
    <t>MUHASEBE</t>
  </si>
  <si>
    <t>SA</t>
  </si>
  <si>
    <t>LAB</t>
  </si>
  <si>
    <t>ŞB</t>
  </si>
  <si>
    <t>TOPLAM</t>
  </si>
  <si>
    <t>Din K.A.Bilgisi</t>
  </si>
  <si>
    <t>Tarih</t>
  </si>
  <si>
    <t>Coğrafya</t>
  </si>
  <si>
    <t>İngilizce</t>
  </si>
  <si>
    <t>Beden Eğitimi</t>
  </si>
  <si>
    <t>Rehberlik</t>
  </si>
  <si>
    <t>SEÇMELİ</t>
  </si>
  <si>
    <t>ORTAK
GENEL
KÜLTÜR</t>
  </si>
  <si>
    <t>MESLEK
VE
ALAN</t>
  </si>
  <si>
    <t>GRP</t>
  </si>
  <si>
    <t>Matematik</t>
  </si>
  <si>
    <t>Fizik</t>
  </si>
  <si>
    <t>Kimya</t>
  </si>
  <si>
    <t>Biyoloji</t>
  </si>
  <si>
    <t>Felsefe</t>
  </si>
  <si>
    <t>L4</t>
  </si>
  <si>
    <t>Haftalık D.S.</t>
  </si>
  <si>
    <t>KOORDİNATÖRLÜK</t>
  </si>
  <si>
    <t>TPL</t>
  </si>
  <si>
    <t>DERSİN ADI</t>
  </si>
  <si>
    <t>BÜRO YÖNETİMİ</t>
  </si>
  <si>
    <t>10.SINIFLAR</t>
  </si>
  <si>
    <t>11. SINIFLAR</t>
  </si>
  <si>
    <t>12.SINIFLAR</t>
  </si>
  <si>
    <t>ALAN</t>
  </si>
  <si>
    <t>SAAT</t>
  </si>
  <si>
    <t>MESLEK ALANLARINA GÖRE DERS TOPLAMLARI</t>
  </si>
  <si>
    <t>NO</t>
  </si>
  <si>
    <t>GRUP</t>
  </si>
  <si>
    <t xml:space="preserve">BÜRO </t>
  </si>
  <si>
    <t>SINIF MEVCUDU</t>
  </si>
  <si>
    <t>MESLEK TOPLAM</t>
  </si>
  <si>
    <t>DERS YÜKÜ</t>
  </si>
  <si>
    <t>NORM</t>
  </si>
  <si>
    <t>./40</t>
  </si>
  <si>
    <t>ŞUBE</t>
  </si>
  <si>
    <r>
      <rPr>
        <b/>
        <sz val="10"/>
        <rFont val="Arial Tur"/>
        <charset val="162"/>
      </rPr>
      <t>NORM</t>
    </r>
    <r>
      <rPr>
        <sz val="10"/>
        <rFont val="Arial Tur"/>
        <charset val="162"/>
      </rPr>
      <t>: 201 SAATE KADAR 5, İLAVE HER 40 SAATE +1, ARTAN 20 SAATE +1.</t>
    </r>
  </si>
  <si>
    <t>ALANI</t>
  </si>
  <si>
    <t>YÜKÜ</t>
  </si>
  <si>
    <t>ÖĞRT.S.</t>
  </si>
  <si>
    <t>ŞEFLİK</t>
  </si>
  <si>
    <t>İHTİYAÇ/FAZLA</t>
  </si>
  <si>
    <t>BÜRO YÖNT.</t>
  </si>
  <si>
    <t>Din Kültürü A.Bilgisi 9.</t>
  </si>
  <si>
    <t>Din Kültürü A.Bilgisi 10.</t>
  </si>
  <si>
    <t>Din Kültürü A.Bilgisi 11.</t>
  </si>
  <si>
    <t>Din Kültürü A.Bilgisi 12.</t>
  </si>
  <si>
    <t>Tarih 9.</t>
  </si>
  <si>
    <t>Tarih 10.</t>
  </si>
  <si>
    <t>Coğrafya 9.</t>
  </si>
  <si>
    <t>Matematik 9.</t>
  </si>
  <si>
    <t>Matematik 10.</t>
  </si>
  <si>
    <t>Beden Eğitim 9.Sınıf</t>
  </si>
  <si>
    <t>Beden Eğitim 10.Sınıf</t>
  </si>
  <si>
    <t>Beden Eğitim 11.Sınıf</t>
  </si>
  <si>
    <t>Kimya 9.Sınıf</t>
  </si>
  <si>
    <t>Kimya 10.Sınıf</t>
  </si>
  <si>
    <t>Biyoloji 9.Sınıf</t>
  </si>
  <si>
    <t>Biyoloji 10.Sınıf</t>
  </si>
  <si>
    <t>İngilizce 9.Sınıf</t>
  </si>
  <si>
    <t>ingilizce 10.Sınıf</t>
  </si>
  <si>
    <t>İngilizce 11.Sınıf</t>
  </si>
  <si>
    <t>KÜLTÜR TOPLAM</t>
  </si>
  <si>
    <t>11.SINIF BİLİŞİM</t>
  </si>
  <si>
    <t>12.SINIF BİLİŞİM</t>
  </si>
  <si>
    <t>11.SINIF BÜRO</t>
  </si>
  <si>
    <t xml:space="preserve">  9.SINIF BÜRO</t>
  </si>
  <si>
    <t>11.SINIFLAR</t>
  </si>
  <si>
    <t>SEVİYE</t>
  </si>
  <si>
    <t>Coğrafya 10.</t>
  </si>
  <si>
    <t>MEVCUT</t>
  </si>
  <si>
    <t>09.SINIFLAR</t>
  </si>
  <si>
    <t>FARK</t>
  </si>
  <si>
    <t>NORMAL KOOR</t>
  </si>
  <si>
    <t>HAF.SAATİ</t>
  </si>
  <si>
    <t>Mevcut</t>
  </si>
  <si>
    <t>KOORDİNATÖRLÜK SAATİ TOPLAMI</t>
  </si>
  <si>
    <t>ÖĞRETMEN</t>
  </si>
  <si>
    <t>&gt;BİLİŞİM</t>
  </si>
  <si>
    <t>&gt;MUHASEBE</t>
  </si>
  <si>
    <t>&gt;BÜRO YÖNETİMİ</t>
  </si>
  <si>
    <t>KOORDİNATÖRLÜK TOPLAMI DAĞITILACAK</t>
  </si>
  <si>
    <t>&gt;KONAKLAMA</t>
  </si>
  <si>
    <t>Temel Matematik</t>
  </si>
  <si>
    <t>Yabancı Dil</t>
  </si>
  <si>
    <t>Yabancı Dil 12.Sınıf</t>
  </si>
  <si>
    <t>KÜLTÜR</t>
  </si>
  <si>
    <t>NORM KOORDİNATÖRLÜĞÜ=</t>
  </si>
  <si>
    <t>yön-</t>
  </si>
  <si>
    <t>L2</t>
  </si>
  <si>
    <t>L1</t>
  </si>
  <si>
    <t>Türk Dili ve Edeb.(*)</t>
  </si>
  <si>
    <t>Büro Hizmetleri (*)</t>
  </si>
  <si>
    <t>Türk Dili ve Edebiyatı 9.</t>
  </si>
  <si>
    <t>Türk Dili ve Edebiyatı 10.</t>
  </si>
  <si>
    <t>Türk Dili ve Edebiyatı 11.</t>
  </si>
  <si>
    <t>MES</t>
  </si>
  <si>
    <t>REHB</t>
  </si>
  <si>
    <t>Ara Toplam</t>
  </si>
  <si>
    <t>12.SINIF KOORD.</t>
  </si>
  <si>
    <t>OKUL KÜMÜLATİF</t>
  </si>
  <si>
    <t xml:space="preserve">NORM </t>
  </si>
  <si>
    <t>T.C. İnk.Tar.Atatürkçülük</t>
  </si>
  <si>
    <t>İnkılap Tar.Atatürkçülük 12.</t>
  </si>
  <si>
    <t>Türk Dili ve Edebiyatı 12.</t>
  </si>
  <si>
    <t>Müdür</t>
  </si>
  <si>
    <t>Müdür Yardımcısı</t>
  </si>
  <si>
    <t>Rehber Öğretmen</t>
  </si>
  <si>
    <t>TOPLAM ÖĞRETMEN</t>
  </si>
  <si>
    <t xml:space="preserve">Konaklama ve Seyahat </t>
  </si>
  <si>
    <t>Tarih 11.</t>
  </si>
  <si>
    <t>Seçmeli Biyoloji 11.</t>
  </si>
  <si>
    <t>10-A BİL</t>
  </si>
  <si>
    <t>10-A MUH</t>
  </si>
  <si>
    <t>10-B MUH</t>
  </si>
  <si>
    <t>11-A BİL</t>
  </si>
  <si>
    <t>11-A MUH</t>
  </si>
  <si>
    <t>SINIF</t>
  </si>
  <si>
    <t>Kaynaştırma</t>
  </si>
  <si>
    <t>Saati</t>
  </si>
  <si>
    <t>Tasarım Programları</t>
  </si>
  <si>
    <t>Mesleki Yabancı Dil</t>
  </si>
  <si>
    <t>Web Uygulamaları</t>
  </si>
  <si>
    <t>İşletmelerde Mesleki Eğitim (*)</t>
  </si>
  <si>
    <t>-</t>
  </si>
  <si>
    <t>L3</t>
  </si>
  <si>
    <t>B.Eğitimi/Görsel S./Müzik</t>
  </si>
  <si>
    <t>Mesleki Gelişim Atölyesi</t>
  </si>
  <si>
    <r>
      <rPr>
        <b/>
        <sz val="10"/>
        <rFont val="Arial Tur"/>
        <charset val="162"/>
      </rPr>
      <t xml:space="preserve">NOT: </t>
    </r>
    <r>
      <rPr>
        <sz val="10"/>
        <rFont val="Arial Tur"/>
        <charset val="162"/>
      </rPr>
      <t>MESLEKİ AÇIK LİSE KOORDİNATÖRLÜKLERİ NORM HESABINA KATILMAZ, ANCAK ALAN HAVUZUNA KATILARAK DAĞITILIR. ŞEFLİK NORM VE KOORDİNATÖRLÜK HESABINA KATILIR.</t>
    </r>
  </si>
  <si>
    <t xml:space="preserve">  9.SINIFLAR </t>
  </si>
  <si>
    <t>ÖĞRETMEN BAŞINA ORTALAMA KOORDİNATÖRLÜK</t>
  </si>
  <si>
    <t>Klavye Teknikleri 9</t>
  </si>
  <si>
    <t>Şirketler Muhasebesi</t>
  </si>
  <si>
    <t>Temel Hukuk 9</t>
  </si>
  <si>
    <t>Bilg. Tasarım Uygulamaları 9</t>
  </si>
  <si>
    <t>Büro Teknolojileri 9 (*)</t>
  </si>
  <si>
    <t>12-A MUH</t>
  </si>
  <si>
    <t>12-B MUH</t>
  </si>
  <si>
    <t>12-A BİL</t>
  </si>
  <si>
    <t>BÜRO YÖNT. VE YÖNT.ASİST.</t>
  </si>
  <si>
    <t>9-A BİL</t>
  </si>
  <si>
    <t>9-A MUH</t>
  </si>
  <si>
    <t>9-C MUH</t>
  </si>
  <si>
    <t>9-A BÜRO</t>
  </si>
  <si>
    <t>9-B BÜRO</t>
  </si>
  <si>
    <t>10-A BÜRO</t>
  </si>
  <si>
    <t>11-A BÜRO</t>
  </si>
  <si>
    <t>9-B MUH</t>
  </si>
  <si>
    <t>Toplam</t>
  </si>
  <si>
    <t>KAYNAŞTIRMA
9.10.11.SINIF</t>
  </si>
  <si>
    <t>Müzik 9.</t>
  </si>
  <si>
    <t>Görsel Sanatlar 9.</t>
  </si>
  <si>
    <t>BİLİŞİM-Yazılım Geliştirme</t>
  </si>
  <si>
    <t>Robotik Kodlama</t>
  </si>
  <si>
    <t>Ofis Uygulamaları</t>
  </si>
  <si>
    <t>Diksiyon ve Etkili İletişim</t>
  </si>
  <si>
    <t>Hızlı Klavye Kullanımı</t>
  </si>
  <si>
    <t>Ekonomi</t>
  </si>
  <si>
    <t>Klavye Teknikleri</t>
  </si>
  <si>
    <t>Temel Hukuk</t>
  </si>
  <si>
    <t>VERİLECEK KOORDİNATÖRLÜK</t>
  </si>
  <si>
    <t>Sağlık Bilgisi ve Trafik Kült.</t>
  </si>
  <si>
    <t>Bilgisayarlı Muhasebe  (*)</t>
  </si>
  <si>
    <t>Girişimcilik ve İşl.Yönt.</t>
  </si>
  <si>
    <t>Vergi ve Beyannameler</t>
  </si>
  <si>
    <t>İş ve Sosyal Güv.Hukuku</t>
  </si>
  <si>
    <t>İleri Ofis Uygulamaları</t>
  </si>
  <si>
    <t>Yazışma Dosyalama Tek.(*)</t>
  </si>
  <si>
    <t>Dijital Ofis Uygulamaları</t>
  </si>
  <si>
    <t xml:space="preserve">Grafik ve Canlandırma </t>
  </si>
  <si>
    <t>Web Tab.Uyg.Geliştirme (*)</t>
  </si>
  <si>
    <t>Mobil Uygulamalar</t>
  </si>
  <si>
    <t xml:space="preserve">Fizik 9. </t>
  </si>
  <si>
    <t>Fizik 10.</t>
  </si>
  <si>
    <t>Mesleki Yabancı Dil 11. Büro</t>
  </si>
  <si>
    <t>Felsefe 10.</t>
  </si>
  <si>
    <t>Felsefe 11.</t>
  </si>
  <si>
    <t>Psikoloji</t>
  </si>
  <si>
    <t>Psikoloji 11.</t>
  </si>
  <si>
    <t>MESEM</t>
  </si>
  <si>
    <t>10.SINIF MUHASEBE + MESEM</t>
  </si>
  <si>
    <r>
      <rPr>
        <b/>
        <sz val="10"/>
        <rFont val="Arial Tur"/>
        <charset val="162"/>
      </rPr>
      <t>NORM 12. SINIF GRUPLAR:</t>
    </r>
    <r>
      <rPr>
        <sz val="10"/>
        <rFont val="Arial Tur"/>
        <charset val="162"/>
      </rPr>
      <t xml:space="preserve"> 8-17 : 1,    17-25 : 2    25-33: 3   33 ve - X: 4    NORMDA KAYNAŞTIRMA SINIFIN GRUP SAYISI ARTIRILARAK DERS YÜKÜ HESAPLANIR.  MESEM 1-41=1 GRUP 32 SAAT</t>
    </r>
  </si>
  <si>
    <t>11.SINIF MUHASEBE + MESEM</t>
  </si>
  <si>
    <t>12.SINIF MUHASEBE + MESEM</t>
  </si>
  <si>
    <t>10-B BÜRO</t>
  </si>
  <si>
    <t>Temel Muhasebe (*)</t>
  </si>
  <si>
    <t xml:space="preserve">Ofis Uygulamaları </t>
  </si>
  <si>
    <t xml:space="preserve">Mesleki Matematik </t>
  </si>
  <si>
    <t>Genel Muhasebe  (*)</t>
  </si>
  <si>
    <t>Programlama Tem.  (*)</t>
  </si>
  <si>
    <t xml:space="preserve">Bilişim Tek. Temelleri  </t>
  </si>
  <si>
    <t>Maliyet Muhasebesi-11</t>
  </si>
  <si>
    <t>Müdür Başyardımcısı</t>
  </si>
  <si>
    <t>MESEM KOOR+</t>
  </si>
  <si>
    <t>MESEM KOOR</t>
  </si>
  <si>
    <t>Seçmeli Programlama</t>
  </si>
  <si>
    <t>Seçmeli  Dijital Tasarım</t>
  </si>
  <si>
    <t>Seçmeli Sosyal Medya</t>
  </si>
  <si>
    <t>Seçmeli Ticaret Hizmetleri</t>
  </si>
  <si>
    <t>Seçmeli E-ticaret</t>
  </si>
  <si>
    <t>Proje Tasarımı ve Uygulamaları</t>
  </si>
  <si>
    <t>AMP</t>
  </si>
  <si>
    <t>LAB YÜKÜ SAAT</t>
  </si>
  <si>
    <t>12.SINIF BÜRO</t>
  </si>
  <si>
    <t>A.M.P</t>
  </si>
  <si>
    <t>9-A MUH SNV</t>
  </si>
  <si>
    <t>10-A MUH SNV</t>
  </si>
  <si>
    <t>11-B BÜRO</t>
  </si>
  <si>
    <t>Seçmeli Emlak Yönetimi</t>
  </si>
  <si>
    <t>İDARECİ VE ALAN ŞEFLERİ HARİÇ ÖĞRETMEN SAYISI</t>
  </si>
  <si>
    <t xml:space="preserve">  9.SINIF MUHASEBE</t>
  </si>
  <si>
    <t>9-D MUH</t>
  </si>
  <si>
    <t>9-E MUH</t>
  </si>
  <si>
    <t>Adabı Muaşeret</t>
  </si>
  <si>
    <t xml:space="preserve">DERS SAATİ  ( +MESEM DAHİL, - 12.SINIF HARİÇ ) </t>
  </si>
  <si>
    <t>KOORDİNATÖRLÜK NORM
(-AÇIK LİSE, + 12.SINIF DERS)</t>
  </si>
  <si>
    <t>2025
2026
MESLEK
NORM
KOORD</t>
  </si>
  <si>
    <t>10-C MUH</t>
  </si>
  <si>
    <t>A=20  MAOL=0                                                           GRUP=2</t>
  </si>
  <si>
    <t>Seçmeli Matematik</t>
  </si>
  <si>
    <t>Seçmeli Biyoloji</t>
  </si>
  <si>
    <t>Seçmeli Coğrafya</t>
  </si>
  <si>
    <t>Peygamberimizin Hayatı</t>
  </si>
  <si>
    <t>Adabı Muaşeret 9.</t>
  </si>
  <si>
    <t>Seçmeli Coğrafya 11.</t>
  </si>
  <si>
    <t>Nesne Tabanlı Prog. (*)</t>
  </si>
  <si>
    <t>MESLEK TOPLAM/NORM KOOR.TPL</t>
  </si>
  <si>
    <t>ÖĞRT.NORMU</t>
  </si>
  <si>
    <t xml:space="preserve">NORM: 
KÜLTÜR: 21 SAATE 1 NORM, +15 İÇİN +1
MESLEK: 41 SAATE 1 NORM, +21 İÇİN +1
NORM HESABINA REHBERLİK İLAVE EDİLMEZ !
KÜLTÜR 
6-31 = 1 Norm,  31 - 42 = 2 Norm
42 saatten fazla 21 saate 1 Norm 
Artan 15 saate 1 Norm </t>
  </si>
  <si>
    <t>Mesleki Matematik</t>
  </si>
  <si>
    <t>Türk Düşünce Tarihi</t>
  </si>
  <si>
    <t>Bilişim Teknolojileri ve Yazılım</t>
  </si>
  <si>
    <t>Türk Sosyal Hayatında Aile</t>
  </si>
  <si>
    <t>Türk Sosyal Hayatında Aile 10-A BİL</t>
  </si>
  <si>
    <t>Seçmeli Matematik/Temel Mat. 11.</t>
  </si>
  <si>
    <t>Proje Tasarımı ve Uygulamaları 9 MUH</t>
  </si>
  <si>
    <t>Türk Düşünce Tarihi 11.</t>
  </si>
  <si>
    <t xml:space="preserve">  9.SINIF BİLİŞİM + 9 A-B BÜRO PROJE</t>
  </si>
  <si>
    <t>Proje Tasarımı ve Uygulamaları 9 BİL</t>
  </si>
  <si>
    <t>L5</t>
  </si>
  <si>
    <t>10.SINIF BİLİŞİM + 10 SEÇM BİL+10 BÜRO Aile</t>
  </si>
  <si>
    <t>10.SINIF BÜRO + 10 MUH Aile</t>
  </si>
  <si>
    <t>11-A MUH SNV</t>
  </si>
  <si>
    <t>A=18,  B=19   MAOL 12 =10,  MESEM=40         GRUP=2+2+1</t>
  </si>
  <si>
    <t>3 ALAN ŞEFİ KOORDİNATÖRLÜK TOPLAMI      (max 14)</t>
  </si>
  <si>
    <t>* SINIFTA 2 ÖĞRENCİ VARSA +1 GRUP, 12'LERE KAYNAŞTIRMADA +1 VERİLMEZ!</t>
  </si>
  <si>
    <t>4 İDARECİ KOORDİNATÖRLÜK TOPLAMI          4x6</t>
  </si>
  <si>
    <t>.=05-0</t>
  </si>
  <si>
    <t>(SADECE İDARECİLER DÜŞÜLDÜ ! )</t>
  </si>
  <si>
    <t>A=29                                                                      GRUP=3</t>
  </si>
  <si>
    <t>12-A BÜRO</t>
  </si>
  <si>
    <t>:=07-1</t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</si>
  <si>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 9 - A  BİL</t>
    </r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</si>
  <si>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9 - A,B,C,D   E  MUH,  9-A MUH SINAVLI</t>
    </r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</si>
  <si>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9 - A,B  BÜRO</t>
    </r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</si>
  <si>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10 - A   BİL</t>
    </r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</si>
  <si>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10 - A,B,C   MUH,   10-A MUH SINAVLI</t>
    </r>
  </si>
  <si>
    <r>
      <rPr>
        <b/>
        <sz val="10"/>
        <color rgb="FFFF0000"/>
        <rFont val="Arial Tur"/>
        <charset val="162"/>
      </rPr>
      <t>2024-41 HDÇ</t>
    </r>
    <r>
      <rPr>
        <b/>
        <sz val="10"/>
        <rFont val="Arial Tur"/>
        <charset val="162"/>
      </rPr>
      <t xml:space="preserve">  10 - A,B   BÜRO</t>
    </r>
  </si>
  <si>
    <r>
      <rPr>
        <b/>
        <sz val="10"/>
        <color rgb="FFFF0000"/>
        <rFont val="Arial Tur"/>
        <charset val="162"/>
      </rPr>
      <t>2023-40 HDÇ</t>
    </r>
    <r>
      <rPr>
        <b/>
        <sz val="10"/>
        <rFont val="Arial Tur"/>
        <charset val="162"/>
      </rPr>
      <t xml:space="preserve"> 11 - A   BİL  </t>
    </r>
  </si>
  <si>
    <r>
      <rPr>
        <b/>
        <sz val="10"/>
        <color rgb="FFFF0000"/>
        <rFont val="Arial Tur"/>
        <charset val="162"/>
      </rPr>
      <t>2023-40 HDÇ</t>
    </r>
    <r>
      <rPr>
        <b/>
        <sz val="10"/>
        <rFont val="Arial Tur"/>
        <charset val="162"/>
      </rPr>
      <t xml:space="preserve"> 11 - A,B MUH,   11-A MUH SINAVLI  </t>
    </r>
  </si>
  <si>
    <r>
      <rPr>
        <b/>
        <sz val="10"/>
        <color rgb="FFFF0000"/>
        <rFont val="Arial Tur"/>
        <charset val="162"/>
      </rPr>
      <t>2023-40 HDÇ</t>
    </r>
    <r>
      <rPr>
        <b/>
        <sz val="10"/>
        <rFont val="Arial Tur"/>
        <charset val="162"/>
      </rPr>
      <t xml:space="preserve"> 11 - A, B BÜRO  </t>
    </r>
  </si>
  <si>
    <r>
      <rPr>
        <b/>
        <sz val="10"/>
        <color rgb="FFFF0000"/>
        <rFont val="Arial Tur"/>
        <charset val="162"/>
      </rPr>
      <t>2020-24 HDÇ</t>
    </r>
    <r>
      <rPr>
        <b/>
        <sz val="10"/>
        <rFont val="Arial Tur"/>
        <charset val="162"/>
      </rPr>
      <t xml:space="preserve"> 12 - A,B   MUH</t>
    </r>
  </si>
  <si>
    <r>
      <rPr>
        <b/>
        <sz val="10"/>
        <color rgb="FFFF0000"/>
        <rFont val="Arial Tur"/>
        <charset val="162"/>
      </rPr>
      <t>2020-24 HDÇ</t>
    </r>
    <r>
      <rPr>
        <b/>
        <sz val="10"/>
        <rFont val="Arial Tur"/>
        <charset val="162"/>
      </rPr>
      <t xml:space="preserve"> 12 - A   BÜRO </t>
    </r>
  </si>
  <si>
    <r>
      <rPr>
        <b/>
        <sz val="10"/>
        <color rgb="FFFF0000"/>
        <rFont val="Arial Tur"/>
        <charset val="162"/>
      </rPr>
      <t>2022 HDÇ</t>
    </r>
    <r>
      <rPr>
        <b/>
        <sz val="10"/>
        <rFont val="Arial Tur"/>
        <charset val="162"/>
      </rPr>
      <t xml:space="preserve"> 12 - A  BİL </t>
    </r>
  </si>
  <si>
    <t>11-B MUH</t>
  </si>
  <si>
    <t>ALAN LAB SAAT (BİL-MUH-BÜRO)</t>
  </si>
  <si>
    <t xml:space="preserve">2025-2026 SİNCAN AHMET ANDİÇEN TİCARET MTAL </t>
  </si>
  <si>
    <t>(LAB1-LAB2-LAB3-LAB4-LAB5)</t>
  </si>
  <si>
    <t>*Yönetim ve Konaklama Hariç</t>
  </si>
  <si>
    <t>4 ATÖLYE ŞEFİ KOORDİNATÖRLÜK TOPLAMI  (max 18)</t>
  </si>
  <si>
    <t>.=18-2</t>
  </si>
  <si>
    <t xml:space="preserve">Kaynak: https://meslek.meb.gov.tr  ve MEB Norm Kadro Yönetmeliği Hazırlayan: Ahmet YÜCE 05.09.2025             </t>
  </si>
  <si>
    <t>FAZLA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</si>
</sst>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9"/>
      <name val="Arial Tur"/>
      <charset val="162"/>
    </font>
    <font>
      <b/>
      <i/>
      <sz val="10"/>
      <name val="Arial Tur"/>
      <charset val="162"/>
    </font>
    <font>
      <b/>
      <sz val="8"/>
      <name val="Arial Tur"/>
      <charset val="162"/>
    </font>
    <font>
      <i/>
      <sz val="10"/>
      <name val="Arial Tur"/>
      <charset val="162"/>
    </font>
    <font>
      <b/>
      <u/>
      <sz val="10"/>
      <name val="Arial Tur"/>
      <charset val="162"/>
    </font>
    <font>
      <b/>
      <u/>
      <sz val="11"/>
      <name val="Arial Tur"/>
      <charset val="162"/>
    </font>
    <font>
      <i/>
      <sz val="12"/>
      <name val="Arial Tur"/>
      <charset val="162"/>
    </font>
    <font>
      <b/>
      <sz val="14"/>
      <name val="Arial Tur"/>
      <charset val="162"/>
    </font>
    <font>
      <b/>
      <u/>
      <sz val="14"/>
      <name val="Arial Tur"/>
      <charset val="162"/>
    </font>
    <font>
      <u/>
      <sz val="14"/>
      <name val="Arial Tur"/>
      <charset val="162"/>
    </font>
    <font>
      <b/>
      <sz val="16"/>
      <name val="Arial Tur"/>
      <charset val="162"/>
    </font>
    <font>
      <b/>
      <sz val="11"/>
      <name val="Arial Tur"/>
      <charset val="162"/>
    </font>
    <font>
      <sz val="12"/>
      <name val="Arial Tur"/>
      <charset val="162"/>
    </font>
    <font>
      <i/>
      <u/>
      <sz val="10"/>
      <name val="Arial Tur"/>
      <charset val="162"/>
    </font>
    <font>
      <sz val="16"/>
      <name val="Arial Tur"/>
      <charset val="162"/>
    </font>
    <font>
      <sz val="22"/>
      <name val="Arial Tur"/>
      <charset val="162"/>
    </font>
    <font>
      <b/>
      <sz val="10"/>
      <color rgb="FFFF0000"/>
      <name val="Arial Tur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i/>
      <sz val="8"/>
      <color rgb="FFFF0000"/>
      <name val="Arial Tur"/>
      <charset val="162"/>
    </font>
    <font>
      <b/>
      <sz val="48"/>
      <name val="Arial Tur"/>
      <charset val="162"/>
    </font>
    <font>
      <sz val="10"/>
      <color rgb="FFFF0000"/>
      <name val="Arial Tur"/>
      <charset val="16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3" fillId="3" borderId="6" xfId="0" applyFont="1" applyFill="1" applyBorder="1"/>
    <xf numFmtId="0" fontId="0" fillId="5" borderId="0" xfId="0" applyFill="1"/>
    <xf numFmtId="0" fontId="0" fillId="0" borderId="7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11" xfId="0" applyFont="1" applyBorder="1"/>
    <xf numFmtId="0" fontId="3" fillId="4" borderId="11" xfId="0" applyFont="1" applyFill="1" applyBorder="1"/>
    <xf numFmtId="0" fontId="3" fillId="0" borderId="12" xfId="0" applyFont="1" applyBorder="1"/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/>
    <xf numFmtId="0" fontId="1" fillId="0" borderId="7" xfId="0" applyFont="1" applyFill="1" applyBorder="1" applyAlignment="1">
      <alignment horizontal="center"/>
    </xf>
    <xf numFmtId="0" fontId="0" fillId="0" borderId="7" xfId="0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21" xfId="0" applyFont="1" applyFill="1" applyBorder="1" applyAlignment="1"/>
    <xf numFmtId="0" fontId="3" fillId="2" borderId="22" xfId="0" applyFont="1" applyFill="1" applyBorder="1" applyAlignment="1"/>
    <xf numFmtId="0" fontId="3" fillId="2" borderId="23" xfId="0" applyFont="1" applyFill="1" applyBorder="1" applyAlignment="1"/>
    <xf numFmtId="1" fontId="0" fillId="0" borderId="7" xfId="0" applyNumberFormat="1" applyBorder="1" applyAlignment="1">
      <alignment horizontal="center"/>
    </xf>
    <xf numFmtId="0" fontId="3" fillId="4" borderId="21" xfId="0" applyFont="1" applyFill="1" applyBorder="1" applyAlignment="1"/>
    <xf numFmtId="0" fontId="3" fillId="4" borderId="2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0" fillId="0" borderId="7" xfId="0" applyFill="1" applyBorder="1"/>
    <xf numFmtId="0" fontId="3" fillId="6" borderId="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0" borderId="25" xfId="0" applyBorder="1"/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3" fillId="4" borderId="17" xfId="0" applyFont="1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0" xfId="0" applyFill="1" applyBorder="1"/>
    <xf numFmtId="0" fontId="1" fillId="0" borderId="21" xfId="0" applyFont="1" applyFill="1" applyBorder="1" applyAlignment="1"/>
    <xf numFmtId="0" fontId="1" fillId="2" borderId="21" xfId="0" applyFont="1" applyFill="1" applyBorder="1" applyAlignment="1"/>
    <xf numFmtId="2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1" xfId="0" applyFill="1" applyBorder="1" applyAlignment="1"/>
    <xf numFmtId="0" fontId="0" fillId="0" borderId="7" xfId="0" applyBorder="1" applyAlignment="1">
      <alignment horizontal="center" vertical="center"/>
    </xf>
    <xf numFmtId="0" fontId="0" fillId="0" borderId="22" xfId="0" applyBorder="1"/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6" borderId="9" xfId="0" applyFont="1" applyFill="1" applyBorder="1" applyAlignme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/>
    <xf numFmtId="1" fontId="3" fillId="7" borderId="24" xfId="0" applyNumberFormat="1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/>
    </xf>
    <xf numFmtId="1" fontId="9" fillId="10" borderId="24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9" borderId="7" xfId="0" applyFill="1" applyBorder="1"/>
    <xf numFmtId="0" fontId="0" fillId="0" borderId="7" xfId="0" applyBorder="1" applyAlignment="1">
      <alignment horizontal="center" wrapText="1"/>
    </xf>
    <xf numFmtId="0" fontId="6" fillId="2" borderId="35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7" borderId="24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3" fillId="9" borderId="33" xfId="0" applyFont="1" applyFill="1" applyBorder="1" applyAlignment="1"/>
    <xf numFmtId="0" fontId="8" fillId="11" borderId="24" xfId="0" applyFont="1" applyFill="1" applyBorder="1" applyAlignment="1">
      <alignment horizontal="center" vertical="center"/>
    </xf>
    <xf numFmtId="0" fontId="3" fillId="10" borderId="33" xfId="0" applyFont="1" applyFill="1" applyBorder="1" applyAlignment="1"/>
    <xf numFmtId="1" fontId="8" fillId="9" borderId="24" xfId="0" applyNumberFormat="1" applyFont="1" applyFill="1" applyBorder="1" applyAlignment="1">
      <alignment horizontal="center" vertical="center"/>
    </xf>
    <xf numFmtId="1" fontId="9" fillId="10" borderId="29" xfId="0" applyNumberFormat="1" applyFont="1" applyFill="1" applyBorder="1" applyAlignment="1">
      <alignment horizontal="center" vertical="center"/>
    </xf>
    <xf numFmtId="1" fontId="11" fillId="10" borderId="7" xfId="0" applyNumberFormat="1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" fontId="9" fillId="10" borderId="34" xfId="0" applyNumberFormat="1" applyFont="1" applyFill="1" applyBorder="1" applyAlignment="1">
      <alignment horizontal="center" vertical="center"/>
    </xf>
    <xf numFmtId="1" fontId="3" fillId="9" borderId="51" xfId="0" applyNumberFormat="1" applyFont="1" applyFill="1" applyBorder="1" applyAlignment="1">
      <alignment horizontal="center" vertical="center"/>
    </xf>
    <xf numFmtId="1" fontId="3" fillId="9" borderId="34" xfId="0" applyNumberFormat="1" applyFont="1" applyFill="1" applyBorder="1" applyAlignment="1">
      <alignment horizontal="center" vertical="center"/>
    </xf>
    <xf numFmtId="1" fontId="15" fillId="10" borderId="51" xfId="0" applyNumberFormat="1" applyFont="1" applyFill="1" applyBorder="1" applyAlignment="1">
      <alignment horizontal="center" vertical="center"/>
    </xf>
    <xf numFmtId="1" fontId="9" fillId="7" borderId="24" xfId="0" applyNumberFormat="1" applyFont="1" applyFill="1" applyBorder="1" applyAlignment="1">
      <alignment horizontal="center" vertical="center"/>
    </xf>
    <xf numFmtId="1" fontId="15" fillId="7" borderId="24" xfId="0" applyNumberFormat="1" applyFont="1" applyFill="1" applyBorder="1" applyAlignment="1">
      <alignment horizontal="center" vertical="center"/>
    </xf>
    <xf numFmtId="0" fontId="0" fillId="5" borderId="3" xfId="0" applyFill="1" applyBorder="1"/>
    <xf numFmtId="0" fontId="3" fillId="0" borderId="0" xfId="0" applyFont="1" applyAlignment="1">
      <alignment horizontal="center"/>
    </xf>
    <xf numFmtId="0" fontId="3" fillId="0" borderId="15" xfId="0" applyFont="1" applyBorder="1"/>
    <xf numFmtId="1" fontId="16" fillId="6" borderId="29" xfId="0" applyNumberFormat="1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vertical="center" wrapText="1"/>
    </xf>
    <xf numFmtId="0" fontId="16" fillId="6" borderId="24" xfId="0" applyFont="1" applyFill="1" applyBorder="1" applyAlignment="1">
      <alignment vertical="center" wrapText="1"/>
    </xf>
    <xf numFmtId="1" fontId="16" fillId="7" borderId="29" xfId="0" applyNumberFormat="1" applyFont="1" applyFill="1" applyBorder="1" applyAlignment="1">
      <alignment horizontal="center" vertical="center" wrapText="1"/>
    </xf>
    <xf numFmtId="1" fontId="16" fillId="7" borderId="24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17" fillId="0" borderId="0" xfId="0" applyFont="1"/>
    <xf numFmtId="0" fontId="17" fillId="0" borderId="0" xfId="0" applyFont="1" applyFill="1" applyBorder="1"/>
    <xf numFmtId="0" fontId="0" fillId="0" borderId="23" xfId="0" applyBorder="1"/>
    <xf numFmtId="0" fontId="0" fillId="0" borderId="21" xfId="0" applyBorder="1"/>
    <xf numFmtId="0" fontId="5" fillId="8" borderId="11" xfId="0" applyFont="1" applyFill="1" applyBorder="1"/>
    <xf numFmtId="0" fontId="3" fillId="8" borderId="11" xfId="0" applyFont="1" applyFill="1" applyBorder="1"/>
    <xf numFmtId="1" fontId="16" fillId="9" borderId="24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/>
    </xf>
    <xf numFmtId="0" fontId="6" fillId="4" borderId="19" xfId="0" applyFont="1" applyFill="1" applyBorder="1"/>
    <xf numFmtId="0" fontId="0" fillId="0" borderId="22" xfId="0" applyFill="1" applyBorder="1" applyAlignment="1"/>
    <xf numFmtId="0" fontId="0" fillId="0" borderId="23" xfId="0" applyFill="1" applyBorder="1" applyAlignment="1"/>
    <xf numFmtId="0" fontId="0" fillId="9" borderId="21" xfId="0" applyFill="1" applyBorder="1" applyAlignment="1"/>
    <xf numFmtId="0" fontId="0" fillId="9" borderId="22" xfId="0" applyFill="1" applyBorder="1" applyAlignment="1"/>
    <xf numFmtId="0" fontId="0" fillId="9" borderId="23" xfId="0" applyFill="1" applyBorder="1" applyAlignment="1"/>
    <xf numFmtId="0" fontId="0" fillId="0" borderId="3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1" fontId="0" fillId="0" borderId="0" xfId="0" applyNumberFormat="1"/>
    <xf numFmtId="0" fontId="0" fillId="9" borderId="24" xfId="0" applyFill="1" applyBorder="1" applyAlignment="1">
      <alignment horizontal="center"/>
    </xf>
    <xf numFmtId="1" fontId="0" fillId="9" borderId="24" xfId="0" applyNumberFormat="1" applyFill="1" applyBorder="1" applyAlignment="1">
      <alignment horizontal="center"/>
    </xf>
    <xf numFmtId="0" fontId="3" fillId="9" borderId="47" xfId="0" applyFont="1" applyFill="1" applyBorder="1" applyAlignment="1"/>
    <xf numFmtId="0" fontId="0" fillId="7" borderId="0" xfId="0" applyFill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8" fillId="0" borderId="0" xfId="0" applyFont="1" applyAlignment="1">
      <alignment horizontal="left"/>
    </xf>
    <xf numFmtId="0" fontId="3" fillId="4" borderId="20" xfId="0" applyFont="1" applyFill="1" applyBorder="1" applyAlignment="1">
      <alignment horizontal="center"/>
    </xf>
    <xf numFmtId="0" fontId="0" fillId="9" borderId="3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1" fontId="16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9" borderId="24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4" borderId="16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0" xfId="0" applyFont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3" fillId="12" borderId="24" xfId="0" applyFont="1" applyFill="1" applyBorder="1" applyAlignment="1">
      <alignment horizontal="center" vertical="center"/>
    </xf>
    <xf numFmtId="0" fontId="3" fillId="10" borderId="61" xfId="0" applyFont="1" applyFill="1" applyBorder="1" applyAlignment="1"/>
    <xf numFmtId="0" fontId="3" fillId="10" borderId="44" xfId="0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0" fillId="2" borderId="27" xfId="0" applyNumberFormat="1" applyFill="1" applyBorder="1" applyAlignment="1">
      <alignment horizontal="center"/>
    </xf>
    <xf numFmtId="1" fontId="16" fillId="7" borderId="24" xfId="0" applyNumberFormat="1" applyFont="1" applyFill="1" applyBorder="1" applyAlignment="1">
      <alignment horizontal="center" vertical="center" wrapText="1"/>
    </xf>
    <xf numFmtId="0" fontId="5" fillId="0" borderId="0" xfId="0" applyFont="1"/>
    <xf numFmtId="1" fontId="16" fillId="7" borderId="24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16" fillId="7" borderId="24" xfId="0" applyNumberFormat="1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3" fillId="9" borderId="2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9" borderId="7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10" borderId="44" xfId="0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3" fillId="7" borderId="11" xfId="0" applyFont="1" applyFill="1" applyBorder="1"/>
    <xf numFmtId="0" fontId="3" fillId="0" borderId="11" xfId="0" applyFont="1" applyFill="1" applyBorder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3" fillId="6" borderId="25" xfId="0" applyFont="1" applyFill="1" applyBorder="1" applyAlignment="1"/>
    <xf numFmtId="0" fontId="2" fillId="0" borderId="55" xfId="0" applyFont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/>
    </xf>
    <xf numFmtId="0" fontId="2" fillId="0" borderId="56" xfId="0" applyFont="1" applyBorder="1" applyAlignment="1">
      <alignment horizontal="center" vertical="center"/>
    </xf>
    <xf numFmtId="0" fontId="0" fillId="5" borderId="11" xfId="0" applyFill="1" applyBorder="1"/>
    <xf numFmtId="0" fontId="2" fillId="0" borderId="62" xfId="0" applyFont="1" applyBorder="1" applyAlignment="1">
      <alignment horizontal="center" vertical="center"/>
    </xf>
    <xf numFmtId="1" fontId="9" fillId="7" borderId="38" xfId="0" applyNumberFormat="1" applyFont="1" applyFill="1" applyBorder="1" applyAlignment="1">
      <alignment horizontal="center" vertical="center"/>
    </xf>
    <xf numFmtId="1" fontId="9" fillId="7" borderId="44" xfId="0" applyNumberFormat="1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left"/>
    </xf>
    <xf numFmtId="0" fontId="7" fillId="9" borderId="25" xfId="0" applyFont="1" applyFill="1" applyBorder="1"/>
    <xf numFmtId="0" fontId="0" fillId="9" borderId="25" xfId="0" applyFill="1" applyBorder="1"/>
    <xf numFmtId="0" fontId="0" fillId="9" borderId="63" xfId="0" applyFill="1" applyBorder="1"/>
    <xf numFmtId="0" fontId="0" fillId="0" borderId="6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9" fillId="7" borderId="64" xfId="0" applyNumberFormat="1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5" fillId="0" borderId="7" xfId="0" applyFont="1" applyBorder="1"/>
    <xf numFmtId="0" fontId="3" fillId="12" borderId="47" xfId="0" applyFont="1" applyFill="1" applyBorder="1" applyAlignment="1">
      <alignment horizontal="left"/>
    </xf>
    <xf numFmtId="0" fontId="3" fillId="12" borderId="29" xfId="0" applyFont="1" applyFill="1" applyBorder="1" applyAlignment="1">
      <alignment horizontal="left"/>
    </xf>
    <xf numFmtId="0" fontId="3" fillId="10" borderId="24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1" fontId="16" fillId="6" borderId="44" xfId="0" applyNumberFormat="1" applyFont="1" applyFill="1" applyBorder="1" applyAlignment="1">
      <alignment horizontal="center" vertical="center" wrapText="1"/>
    </xf>
    <xf numFmtId="1" fontId="16" fillId="6" borderId="45" xfId="0" applyNumberFormat="1" applyFont="1" applyFill="1" applyBorder="1" applyAlignment="1">
      <alignment horizontal="center" vertical="center" wrapText="1"/>
    </xf>
    <xf numFmtId="1" fontId="16" fillId="6" borderId="46" xfId="0" applyNumberFormat="1" applyFont="1" applyFill="1" applyBorder="1" applyAlignment="1">
      <alignment horizontal="center" vertical="center" wrapText="1"/>
    </xf>
    <xf numFmtId="1" fontId="11" fillId="7" borderId="44" xfId="0" applyNumberFormat="1" applyFont="1" applyFill="1" applyBorder="1" applyAlignment="1">
      <alignment horizontal="center" vertical="center"/>
    </xf>
    <xf numFmtId="1" fontId="11" fillId="7" borderId="45" xfId="0" applyNumberFormat="1" applyFont="1" applyFill="1" applyBorder="1" applyAlignment="1">
      <alignment horizontal="center" vertical="center"/>
    </xf>
    <xf numFmtId="1" fontId="11" fillId="7" borderId="46" xfId="0" applyNumberFormat="1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left"/>
    </xf>
    <xf numFmtId="0" fontId="3" fillId="7" borderId="34" xfId="0" applyFont="1" applyFill="1" applyBorder="1" applyAlignment="1">
      <alignment horizontal="left"/>
    </xf>
    <xf numFmtId="0" fontId="11" fillId="7" borderId="24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left"/>
    </xf>
    <xf numFmtId="0" fontId="3" fillId="9" borderId="34" xfId="0" applyFont="1" applyFill="1" applyBorder="1" applyAlignment="1">
      <alignment horizontal="left"/>
    </xf>
    <xf numFmtId="0" fontId="3" fillId="10" borderId="33" xfId="0" applyFont="1" applyFill="1" applyBorder="1" applyAlignment="1">
      <alignment horizontal="left"/>
    </xf>
    <xf numFmtId="0" fontId="3" fillId="10" borderId="34" xfId="0" applyFont="1" applyFill="1" applyBorder="1" applyAlignment="1">
      <alignment horizontal="left"/>
    </xf>
    <xf numFmtId="0" fontId="3" fillId="7" borderId="24" xfId="0" applyFont="1" applyFill="1" applyBorder="1" applyAlignment="1">
      <alignment horizontal="left"/>
    </xf>
    <xf numFmtId="0" fontId="3" fillId="12" borderId="33" xfId="0" applyFont="1" applyFill="1" applyBorder="1" applyAlignment="1">
      <alignment horizontal="left"/>
    </xf>
    <xf numFmtId="0" fontId="3" fillId="12" borderId="34" xfId="0" applyFont="1" applyFill="1" applyBorder="1" applyAlignment="1">
      <alignment horizontal="left"/>
    </xf>
    <xf numFmtId="1" fontId="3" fillId="10" borderId="44" xfId="0" applyNumberFormat="1" applyFont="1" applyFill="1" applyBorder="1" applyAlignment="1">
      <alignment horizontal="center"/>
    </xf>
    <xf numFmtId="0" fontId="3" fillId="10" borderId="44" xfId="0" applyFont="1" applyFill="1" applyBorder="1" applyAlignment="1">
      <alignment horizontal="center"/>
    </xf>
    <xf numFmtId="1" fontId="11" fillId="13" borderId="24" xfId="0" applyNumberFormat="1" applyFont="1" applyFill="1" applyBorder="1" applyAlignment="1">
      <alignment horizontal="center" vertical="center"/>
    </xf>
    <xf numFmtId="0" fontId="11" fillId="13" borderId="24" xfId="0" applyFont="1" applyFill="1" applyBorder="1" applyAlignment="1">
      <alignment horizontal="center" vertical="center"/>
    </xf>
    <xf numFmtId="1" fontId="3" fillId="9" borderId="2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0" fillId="9" borderId="36" xfId="0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0" fillId="9" borderId="39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1" fontId="11" fillId="13" borderId="44" xfId="0" applyNumberFormat="1" applyFont="1" applyFill="1" applyBorder="1" applyAlignment="1">
      <alignment horizontal="center" vertical="center"/>
    </xf>
    <xf numFmtId="1" fontId="11" fillId="13" borderId="45" xfId="0" applyNumberFormat="1" applyFont="1" applyFill="1" applyBorder="1" applyAlignment="1">
      <alignment horizontal="center" vertical="center"/>
    </xf>
    <xf numFmtId="1" fontId="11" fillId="13" borderId="46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" fontId="16" fillId="7" borderId="44" xfId="0" applyNumberFormat="1" applyFont="1" applyFill="1" applyBorder="1" applyAlignment="1">
      <alignment horizontal="center" vertical="center" wrapText="1"/>
    </xf>
    <xf numFmtId="1" fontId="16" fillId="7" borderId="4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left"/>
    </xf>
    <xf numFmtId="0" fontId="3" fillId="9" borderId="29" xfId="0" applyFont="1" applyFill="1" applyBorder="1" applyAlignment="1">
      <alignment horizontal="left"/>
    </xf>
    <xf numFmtId="0" fontId="12" fillId="9" borderId="34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3" fillId="11" borderId="33" xfId="0" applyFont="1" applyFill="1" applyBorder="1" applyAlignment="1">
      <alignment horizontal="left"/>
    </xf>
    <xf numFmtId="0" fontId="3" fillId="11" borderId="34" xfId="0" applyFont="1" applyFill="1" applyBorder="1" applyAlignment="1">
      <alignment horizontal="left"/>
    </xf>
    <xf numFmtId="0" fontId="12" fillId="11" borderId="34" xfId="0" applyFont="1" applyFill="1" applyBorder="1" applyAlignment="1">
      <alignment horizontal="center" vertical="center"/>
    </xf>
    <xf numFmtId="0" fontId="13" fillId="11" borderId="51" xfId="0" applyFont="1" applyFill="1" applyBorder="1"/>
    <xf numFmtId="0" fontId="13" fillId="11" borderId="34" xfId="0" applyFont="1" applyFill="1" applyBorder="1"/>
    <xf numFmtId="0" fontId="0" fillId="8" borderId="48" xfId="0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 wrapText="1"/>
    </xf>
    <xf numFmtId="0" fontId="0" fillId="8" borderId="50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1" xfId="0" applyBorder="1" applyAlignment="1">
      <alignment horizontal="left"/>
    </xf>
    <xf numFmtId="1" fontId="11" fillId="7" borderId="24" xfId="0" applyNumberFormat="1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38" xfId="0" applyFont="1" applyFill="1" applyBorder="1" applyAlignment="1">
      <alignment horizontal="center" vertical="center"/>
    </xf>
    <xf numFmtId="0" fontId="11" fillId="12" borderId="39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40" xfId="0" applyFont="1" applyFill="1" applyBorder="1" applyAlignment="1">
      <alignment horizontal="center" vertical="center"/>
    </xf>
    <xf numFmtId="0" fontId="11" fillId="12" borderId="41" xfId="0" applyFont="1" applyFill="1" applyBorder="1" applyAlignment="1">
      <alignment horizontal="center" vertical="center"/>
    </xf>
    <xf numFmtId="0" fontId="11" fillId="12" borderId="42" xfId="0" applyFont="1" applyFill="1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/>
    </xf>
    <xf numFmtId="1" fontId="16" fillId="7" borderId="46" xfId="0" applyNumberFormat="1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/>
    </xf>
    <xf numFmtId="0" fontId="11" fillId="7" borderId="37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39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3" fillId="14" borderId="47" xfId="0" applyFont="1" applyFill="1" applyBorder="1" applyAlignment="1">
      <alignment horizontal="left"/>
    </xf>
    <xf numFmtId="0" fontId="3" fillId="14" borderId="29" xfId="0" applyFont="1" applyFill="1" applyBorder="1" applyAlignment="1">
      <alignment horizontal="left"/>
    </xf>
    <xf numFmtId="0" fontId="11" fillId="7" borderId="44" xfId="0" applyFont="1" applyFill="1" applyBorder="1" applyAlignment="1">
      <alignment horizontal="center" vertical="center"/>
    </xf>
    <xf numFmtId="0" fontId="11" fillId="7" borderId="45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center" vertical="center"/>
    </xf>
    <xf numFmtId="0" fontId="11" fillId="14" borderId="34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1" fontId="16" fillId="6" borderId="24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4" fillId="2" borderId="52" xfId="0" applyFont="1" applyFill="1" applyBorder="1" applyAlignment="1">
      <alignment horizontal="left"/>
    </xf>
    <xf numFmtId="0" fontId="4" fillId="2" borderId="53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center"/>
    </xf>
    <xf numFmtId="1" fontId="0" fillId="0" borderId="45" xfId="0" applyNumberFormat="1" applyBorder="1"/>
    <xf numFmtId="1" fontId="0" fillId="0" borderId="46" xfId="0" applyNumberFormat="1" applyBorder="1"/>
    <xf numFmtId="1" fontId="16" fillId="0" borderId="44" xfId="0" applyNumberFormat="1" applyFont="1" applyBorder="1" applyAlignment="1">
      <alignment horizontal="center" vertical="center"/>
    </xf>
    <xf numFmtId="1" fontId="16" fillId="0" borderId="45" xfId="0" applyNumberFormat="1" applyFont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23" fillId="0" borderId="21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left"/>
    </xf>
    <xf numFmtId="0" fontId="19" fillId="9" borderId="7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18" fillId="9" borderId="48" xfId="0" applyFont="1" applyFill="1" applyBorder="1" applyAlignment="1">
      <alignment horizontal="center"/>
    </xf>
    <xf numFmtId="0" fontId="18" fillId="9" borderId="13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left"/>
    </xf>
    <xf numFmtId="0" fontId="0" fillId="9" borderId="22" xfId="0" applyFill="1" applyBorder="1" applyAlignment="1">
      <alignment horizontal="left"/>
    </xf>
    <xf numFmtId="0" fontId="0" fillId="9" borderId="2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"/>
  <sheetViews>
    <sheetView tabSelected="1" topLeftCell="B1" zoomScale="80" zoomScaleNormal="80" workbookViewId="0">
      <selection activeCell="Y90" sqref="Y90"/>
    </sheetView>
  </sheetViews>
  <sheetFormatPr defaultRowHeight="12.75"/>
  <cols>
    <col min="1" max="1" width="12" customWidth="1"/>
    <col min="2" max="2" width="32.7109375" customWidth="1"/>
    <col min="3" max="3" width="4.42578125" customWidth="1"/>
    <col min="4" max="4" width="5.5703125" customWidth="1"/>
    <col min="5" max="5" width="4.42578125" customWidth="1"/>
    <col min="6" max="6" width="6.28515625" customWidth="1"/>
    <col min="7" max="7" width="31.42578125" customWidth="1"/>
    <col min="8" max="8" width="9.28515625" bestFit="1" customWidth="1"/>
    <col min="9" max="9" width="5.42578125" bestFit="1" customWidth="1"/>
    <col min="10" max="10" width="6" bestFit="1" customWidth="1"/>
    <col min="11" max="11" width="5.42578125" customWidth="1"/>
    <col min="12" max="12" width="31" customWidth="1"/>
    <col min="13" max="13" width="5.85546875" customWidth="1"/>
    <col min="14" max="14" width="5.5703125" customWidth="1"/>
    <col min="15" max="15" width="4.5703125" customWidth="1"/>
    <col min="16" max="16" width="4.85546875" bestFit="1" customWidth="1"/>
    <col min="17" max="17" width="8.42578125" style="1" bestFit="1" customWidth="1"/>
    <col min="18" max="18" width="5" style="1" bestFit="1" customWidth="1"/>
    <col min="19" max="19" width="2.28515625" customWidth="1"/>
    <col min="20" max="20" width="18.140625" customWidth="1"/>
    <col min="21" max="21" width="25.5703125" customWidth="1"/>
    <col min="22" max="22" width="6.28515625" customWidth="1"/>
    <col min="23" max="24" width="6" bestFit="1" customWidth="1"/>
    <col min="25" max="25" width="6.28515625" customWidth="1"/>
    <col min="26" max="26" width="13.5703125" bestFit="1" customWidth="1"/>
    <col min="27" max="27" width="8.7109375" bestFit="1" customWidth="1"/>
    <col min="28" max="28" width="5.7109375" bestFit="1" customWidth="1"/>
    <col min="29" max="29" width="10.140625" style="200" customWidth="1"/>
    <col min="30" max="30" width="5" customWidth="1"/>
  </cols>
  <sheetData>
    <row r="1" spans="1:29" ht="60.75" thickBot="1">
      <c r="A1" s="322" t="s">
        <v>274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</row>
    <row r="2" spans="1:29" ht="13.5" thickBot="1">
      <c r="A2" s="5" t="s">
        <v>0</v>
      </c>
      <c r="B2" s="248" t="s">
        <v>260</v>
      </c>
      <c r="C2" s="248"/>
      <c r="D2" s="248"/>
      <c r="E2" s="248"/>
      <c r="F2" s="248"/>
      <c r="G2" s="248" t="s">
        <v>261</v>
      </c>
      <c r="H2" s="248"/>
      <c r="I2" s="248"/>
      <c r="J2" s="248"/>
      <c r="K2" s="248"/>
      <c r="L2" s="248" t="s">
        <v>262</v>
      </c>
      <c r="M2" s="248"/>
      <c r="N2" s="248"/>
      <c r="O2" s="248"/>
      <c r="P2" s="248"/>
      <c r="Q2" s="323" t="s">
        <v>26</v>
      </c>
      <c r="R2" s="323" t="s">
        <v>17</v>
      </c>
      <c r="S2" s="8"/>
      <c r="T2" s="324" t="s">
        <v>27</v>
      </c>
      <c r="U2" s="325"/>
      <c r="V2" s="65" t="s">
        <v>209</v>
      </c>
      <c r="W2" s="326" t="s">
        <v>7</v>
      </c>
      <c r="X2" s="326"/>
      <c r="Y2" s="326"/>
      <c r="Z2" s="66" t="s">
        <v>235</v>
      </c>
      <c r="AA2" s="155" t="s">
        <v>78</v>
      </c>
      <c r="AB2" s="70" t="s">
        <v>80</v>
      </c>
      <c r="AC2" s="75" t="s">
        <v>1</v>
      </c>
    </row>
    <row r="3" spans="1:29" ht="13.5" customHeight="1" thickBot="1">
      <c r="A3" s="147" t="s">
        <v>1</v>
      </c>
      <c r="B3" s="7" t="s">
        <v>160</v>
      </c>
      <c r="C3" s="62" t="s">
        <v>4</v>
      </c>
      <c r="D3" s="62" t="s">
        <v>5</v>
      </c>
      <c r="E3" s="62" t="s">
        <v>6</v>
      </c>
      <c r="F3" s="63" t="s">
        <v>26</v>
      </c>
      <c r="G3" s="7" t="s">
        <v>3</v>
      </c>
      <c r="H3" s="62" t="s">
        <v>4</v>
      </c>
      <c r="I3" s="62" t="s">
        <v>5</v>
      </c>
      <c r="J3" s="62" t="s">
        <v>6</v>
      </c>
      <c r="K3" s="63" t="s">
        <v>26</v>
      </c>
      <c r="L3" s="7" t="s">
        <v>147</v>
      </c>
      <c r="M3" s="62" t="s">
        <v>4</v>
      </c>
      <c r="N3" s="62" t="s">
        <v>5</v>
      </c>
      <c r="O3" s="62" t="s">
        <v>6</v>
      </c>
      <c r="P3" s="63" t="s">
        <v>26</v>
      </c>
      <c r="Q3" s="285"/>
      <c r="R3" s="285"/>
      <c r="S3" s="8"/>
      <c r="T3" s="275" t="s">
        <v>101</v>
      </c>
      <c r="U3" s="276"/>
      <c r="V3" s="78">
        <f>Q4</f>
        <v>45</v>
      </c>
      <c r="W3" s="300">
        <f>SUM(V3:V7)</f>
        <v>122</v>
      </c>
      <c r="X3" s="301"/>
      <c r="Y3" s="302"/>
      <c r="Z3" s="226">
        <f>W3/21</f>
        <v>5.8095238095238093</v>
      </c>
      <c r="AA3" s="329">
        <v>6</v>
      </c>
      <c r="AB3" s="329">
        <f>AA3-Z3</f>
        <v>0.19047619047619069</v>
      </c>
      <c r="AC3" s="260" t="s">
        <v>132</v>
      </c>
    </row>
    <row r="4" spans="1:29" ht="12.75" customHeight="1">
      <c r="A4" s="265" t="s">
        <v>15</v>
      </c>
      <c r="B4" s="21" t="s">
        <v>99</v>
      </c>
      <c r="C4" s="11">
        <v>5</v>
      </c>
      <c r="D4" s="11"/>
      <c r="E4" s="11">
        <v>1</v>
      </c>
      <c r="F4" s="12">
        <f t="shared" ref="F4:F21" si="0">C4*E4</f>
        <v>5</v>
      </c>
      <c r="G4" s="21" t="s">
        <v>99</v>
      </c>
      <c r="H4" s="88">
        <v>5</v>
      </c>
      <c r="I4" s="11"/>
      <c r="J4" s="11">
        <v>6</v>
      </c>
      <c r="K4" s="12">
        <f t="shared" ref="K4:K13" si="1">H4*J4</f>
        <v>30</v>
      </c>
      <c r="L4" s="21" t="s">
        <v>99</v>
      </c>
      <c r="M4" s="11">
        <v>5</v>
      </c>
      <c r="N4" s="11"/>
      <c r="O4" s="11">
        <v>2</v>
      </c>
      <c r="P4" s="12">
        <f t="shared" ref="P4:P13" si="2">M4*O4</f>
        <v>10</v>
      </c>
      <c r="Q4" s="4">
        <f>F4+K4+P4</f>
        <v>45</v>
      </c>
      <c r="R4" s="4"/>
      <c r="S4" s="8"/>
      <c r="T4" s="275" t="s">
        <v>102</v>
      </c>
      <c r="U4" s="276"/>
      <c r="V4" s="78">
        <f>F27+K27+P27</f>
        <v>28</v>
      </c>
      <c r="W4" s="303"/>
      <c r="X4" s="304"/>
      <c r="Y4" s="305"/>
      <c r="Z4" s="327"/>
      <c r="AA4" s="330"/>
      <c r="AB4" s="330"/>
      <c r="AC4" s="261"/>
    </row>
    <row r="5" spans="1:29" ht="12.75" customHeight="1">
      <c r="A5" s="265"/>
      <c r="B5" s="10" t="s">
        <v>8</v>
      </c>
      <c r="C5" s="11">
        <v>2</v>
      </c>
      <c r="D5" s="11"/>
      <c r="E5" s="11">
        <v>1</v>
      </c>
      <c r="F5" s="12">
        <f t="shared" si="0"/>
        <v>2</v>
      </c>
      <c r="G5" s="10" t="s">
        <v>8</v>
      </c>
      <c r="H5" s="88">
        <v>2</v>
      </c>
      <c r="I5" s="11"/>
      <c r="J5" s="11">
        <v>6</v>
      </c>
      <c r="K5" s="12">
        <f t="shared" si="1"/>
        <v>12</v>
      </c>
      <c r="L5" s="10" t="s">
        <v>8</v>
      </c>
      <c r="M5" s="11">
        <v>2</v>
      </c>
      <c r="N5" s="11"/>
      <c r="O5" s="11">
        <v>2</v>
      </c>
      <c r="P5" s="12">
        <f t="shared" si="2"/>
        <v>4</v>
      </c>
      <c r="Q5" s="164">
        <f t="shared" ref="Q5:Q12" si="3">P5+K5+F5</f>
        <v>18</v>
      </c>
      <c r="R5" s="164"/>
      <c r="S5" s="8"/>
      <c r="T5" s="275" t="s">
        <v>103</v>
      </c>
      <c r="U5" s="276"/>
      <c r="V5" s="78">
        <f>F50+K50+P50</f>
        <v>24</v>
      </c>
      <c r="W5" s="303"/>
      <c r="X5" s="304"/>
      <c r="Y5" s="305"/>
      <c r="Z5" s="327"/>
      <c r="AA5" s="330"/>
      <c r="AB5" s="330"/>
      <c r="AC5" s="261"/>
    </row>
    <row r="6" spans="1:29" ht="12.75" customHeight="1">
      <c r="A6" s="265"/>
      <c r="B6" s="10" t="s">
        <v>9</v>
      </c>
      <c r="C6" s="11">
        <v>2</v>
      </c>
      <c r="D6" s="11"/>
      <c r="E6" s="11">
        <v>1</v>
      </c>
      <c r="F6" s="12">
        <f t="shared" si="0"/>
        <v>2</v>
      </c>
      <c r="G6" s="10" t="s">
        <v>9</v>
      </c>
      <c r="H6" s="88">
        <v>2</v>
      </c>
      <c r="I6" s="11"/>
      <c r="J6" s="11">
        <v>6</v>
      </c>
      <c r="K6" s="12">
        <f t="shared" si="1"/>
        <v>12</v>
      </c>
      <c r="L6" s="10" t="s">
        <v>9</v>
      </c>
      <c r="M6" s="11">
        <v>2</v>
      </c>
      <c r="N6" s="11"/>
      <c r="O6" s="11">
        <v>2</v>
      </c>
      <c r="P6" s="12">
        <f t="shared" si="2"/>
        <v>4</v>
      </c>
      <c r="Q6" s="164">
        <f t="shared" si="3"/>
        <v>18</v>
      </c>
      <c r="R6" s="164"/>
      <c r="S6" s="8"/>
      <c r="T6" s="275" t="s">
        <v>112</v>
      </c>
      <c r="U6" s="276"/>
      <c r="V6" s="78">
        <f>Q76</f>
        <v>20</v>
      </c>
      <c r="W6" s="303"/>
      <c r="X6" s="304"/>
      <c r="Y6" s="305"/>
      <c r="Z6" s="327"/>
      <c r="AA6" s="330"/>
      <c r="AB6" s="330"/>
      <c r="AC6" s="261"/>
    </row>
    <row r="7" spans="1:29" ht="12.75" customHeight="1">
      <c r="A7" s="265"/>
      <c r="B7" s="10" t="s">
        <v>10</v>
      </c>
      <c r="C7" s="11">
        <v>2</v>
      </c>
      <c r="D7" s="11"/>
      <c r="E7" s="11">
        <v>1</v>
      </c>
      <c r="F7" s="12">
        <f t="shared" si="0"/>
        <v>2</v>
      </c>
      <c r="G7" s="10" t="s">
        <v>10</v>
      </c>
      <c r="H7" s="88">
        <v>2</v>
      </c>
      <c r="I7" s="11"/>
      <c r="J7" s="11">
        <v>6</v>
      </c>
      <c r="K7" s="12">
        <f t="shared" si="1"/>
        <v>12</v>
      </c>
      <c r="L7" s="10" t="s">
        <v>10</v>
      </c>
      <c r="M7" s="11">
        <v>2</v>
      </c>
      <c r="N7" s="11"/>
      <c r="O7" s="11">
        <v>2</v>
      </c>
      <c r="P7" s="12">
        <f t="shared" si="2"/>
        <v>4</v>
      </c>
      <c r="Q7" s="164">
        <f t="shared" si="3"/>
        <v>18</v>
      </c>
      <c r="R7" s="164"/>
      <c r="S7" s="8"/>
      <c r="T7" s="275" t="s">
        <v>187</v>
      </c>
      <c r="U7" s="276"/>
      <c r="V7" s="78">
        <f>2+3</f>
        <v>5</v>
      </c>
      <c r="W7" s="306"/>
      <c r="X7" s="307"/>
      <c r="Y7" s="308"/>
      <c r="Z7" s="328"/>
      <c r="AA7" s="331"/>
      <c r="AB7" s="331"/>
      <c r="AC7" s="262"/>
    </row>
    <row r="8" spans="1:29" ht="12.75" customHeight="1">
      <c r="A8" s="265"/>
      <c r="B8" s="10" t="s">
        <v>18</v>
      </c>
      <c r="C8" s="11">
        <v>5</v>
      </c>
      <c r="D8" s="11"/>
      <c r="E8" s="11">
        <v>1</v>
      </c>
      <c r="F8" s="12">
        <f t="shared" si="0"/>
        <v>5</v>
      </c>
      <c r="G8" s="10" t="s">
        <v>18</v>
      </c>
      <c r="H8" s="88">
        <v>5</v>
      </c>
      <c r="I8" s="11"/>
      <c r="J8" s="11">
        <v>6</v>
      </c>
      <c r="K8" s="12">
        <f t="shared" si="1"/>
        <v>30</v>
      </c>
      <c r="L8" s="10" t="s">
        <v>18</v>
      </c>
      <c r="M8" s="11">
        <v>5</v>
      </c>
      <c r="N8" s="11"/>
      <c r="O8" s="11">
        <v>2</v>
      </c>
      <c r="P8" s="12">
        <f t="shared" si="2"/>
        <v>10</v>
      </c>
      <c r="Q8" s="164">
        <f t="shared" si="3"/>
        <v>45</v>
      </c>
      <c r="R8" s="164"/>
      <c r="S8" s="8"/>
      <c r="T8" s="220" t="s">
        <v>51</v>
      </c>
      <c r="U8" s="221"/>
      <c r="V8" s="173">
        <f>Q5</f>
        <v>18</v>
      </c>
      <c r="W8" s="290">
        <f>SUM(V8:V13)</f>
        <v>74</v>
      </c>
      <c r="X8" s="291"/>
      <c r="Y8" s="292"/>
      <c r="Z8" s="226">
        <v>3</v>
      </c>
      <c r="AA8" s="223">
        <v>3</v>
      </c>
      <c r="AB8" s="226">
        <f>AA8-Z8</f>
        <v>0</v>
      </c>
      <c r="AC8" s="260" t="str">
        <f>IF(AB8&lt;0,"EKSİK",IF(AB8&gt;0,"FAZLA","_"))</f>
        <v>_</v>
      </c>
    </row>
    <row r="9" spans="1:29" ht="12.75" customHeight="1">
      <c r="A9" s="265"/>
      <c r="B9" s="13" t="s">
        <v>19</v>
      </c>
      <c r="C9" s="14">
        <v>2</v>
      </c>
      <c r="D9" s="14"/>
      <c r="E9" s="11">
        <v>1</v>
      </c>
      <c r="F9" s="15">
        <f t="shared" si="0"/>
        <v>2</v>
      </c>
      <c r="G9" s="13" t="s">
        <v>19</v>
      </c>
      <c r="H9" s="88">
        <v>2</v>
      </c>
      <c r="I9" s="14"/>
      <c r="J9" s="11">
        <v>6</v>
      </c>
      <c r="K9" s="15">
        <f t="shared" si="1"/>
        <v>12</v>
      </c>
      <c r="L9" s="13" t="s">
        <v>19</v>
      </c>
      <c r="M9" s="14">
        <v>2</v>
      </c>
      <c r="N9" s="14"/>
      <c r="O9" s="11">
        <v>2</v>
      </c>
      <c r="P9" s="15">
        <f t="shared" si="2"/>
        <v>4</v>
      </c>
      <c r="Q9" s="164">
        <f t="shared" si="3"/>
        <v>18</v>
      </c>
      <c r="R9" s="164"/>
      <c r="S9" s="8"/>
      <c r="T9" s="220" t="s">
        <v>52</v>
      </c>
      <c r="U9" s="221"/>
      <c r="V9" s="173">
        <f>Q29</f>
        <v>14</v>
      </c>
      <c r="W9" s="293"/>
      <c r="X9" s="294"/>
      <c r="Y9" s="295"/>
      <c r="Z9" s="227"/>
      <c r="AA9" s="224"/>
      <c r="AB9" s="227"/>
      <c r="AC9" s="261"/>
    </row>
    <row r="10" spans="1:29" ht="12.75" customHeight="1">
      <c r="A10" s="265"/>
      <c r="B10" s="13" t="s">
        <v>20</v>
      </c>
      <c r="C10" s="14">
        <v>2</v>
      </c>
      <c r="D10" s="14"/>
      <c r="E10" s="11">
        <v>1</v>
      </c>
      <c r="F10" s="15">
        <f t="shared" si="0"/>
        <v>2</v>
      </c>
      <c r="G10" s="13" t="s">
        <v>20</v>
      </c>
      <c r="H10" s="88">
        <v>2</v>
      </c>
      <c r="I10" s="14"/>
      <c r="J10" s="11">
        <v>6</v>
      </c>
      <c r="K10" s="15">
        <f t="shared" si="1"/>
        <v>12</v>
      </c>
      <c r="L10" s="13" t="s">
        <v>20</v>
      </c>
      <c r="M10" s="14">
        <v>2</v>
      </c>
      <c r="N10" s="14"/>
      <c r="O10" s="11">
        <v>2</v>
      </c>
      <c r="P10" s="15">
        <f t="shared" si="2"/>
        <v>4</v>
      </c>
      <c r="Q10" s="164">
        <f t="shared" si="3"/>
        <v>18</v>
      </c>
      <c r="R10" s="164"/>
      <c r="S10" s="8"/>
      <c r="T10" s="220" t="s">
        <v>53</v>
      </c>
      <c r="U10" s="221"/>
      <c r="V10" s="173">
        <f>Q51</f>
        <v>12</v>
      </c>
      <c r="W10" s="293"/>
      <c r="X10" s="294"/>
      <c r="Y10" s="295"/>
      <c r="Z10" s="227"/>
      <c r="AA10" s="224"/>
      <c r="AB10" s="227"/>
      <c r="AC10" s="261"/>
    </row>
    <row r="11" spans="1:29" ht="12.75" customHeight="1">
      <c r="A11" s="265"/>
      <c r="B11" s="13" t="s">
        <v>21</v>
      </c>
      <c r="C11" s="14">
        <v>2</v>
      </c>
      <c r="D11" s="14"/>
      <c r="E11" s="11">
        <v>1</v>
      </c>
      <c r="F11" s="15">
        <f t="shared" si="0"/>
        <v>2</v>
      </c>
      <c r="G11" s="13" t="s">
        <v>21</v>
      </c>
      <c r="H11" s="88">
        <v>2</v>
      </c>
      <c r="I11" s="14"/>
      <c r="J11" s="11">
        <v>6</v>
      </c>
      <c r="K11" s="15">
        <f t="shared" si="1"/>
        <v>12</v>
      </c>
      <c r="L11" s="13" t="s">
        <v>21</v>
      </c>
      <c r="M11" s="14">
        <v>2</v>
      </c>
      <c r="N11" s="14"/>
      <c r="O11" s="11">
        <v>2</v>
      </c>
      <c r="P11" s="15">
        <f t="shared" si="2"/>
        <v>4</v>
      </c>
      <c r="Q11" s="164">
        <f t="shared" si="3"/>
        <v>18</v>
      </c>
      <c r="R11" s="164"/>
      <c r="S11" s="8"/>
      <c r="T11" s="220" t="s">
        <v>54</v>
      </c>
      <c r="U11" s="221"/>
      <c r="V11" s="173">
        <f>Q78</f>
        <v>8</v>
      </c>
      <c r="W11" s="293"/>
      <c r="X11" s="294"/>
      <c r="Y11" s="295"/>
      <c r="Z11" s="227"/>
      <c r="AA11" s="224"/>
      <c r="AB11" s="227"/>
      <c r="AC11" s="261"/>
    </row>
    <row r="12" spans="1:29" ht="12.75" customHeight="1">
      <c r="A12" s="265"/>
      <c r="B12" s="13" t="s">
        <v>11</v>
      </c>
      <c r="C12" s="14">
        <v>4</v>
      </c>
      <c r="D12" s="14"/>
      <c r="E12" s="11">
        <v>1</v>
      </c>
      <c r="F12" s="15">
        <f t="shared" si="0"/>
        <v>4</v>
      </c>
      <c r="G12" s="13" t="s">
        <v>11</v>
      </c>
      <c r="H12" s="88">
        <v>4</v>
      </c>
      <c r="I12" s="14"/>
      <c r="J12" s="11">
        <v>6</v>
      </c>
      <c r="K12" s="15">
        <f t="shared" si="1"/>
        <v>24</v>
      </c>
      <c r="L12" s="13" t="s">
        <v>11</v>
      </c>
      <c r="M12" s="14">
        <v>4</v>
      </c>
      <c r="N12" s="14"/>
      <c r="O12" s="11">
        <v>2</v>
      </c>
      <c r="P12" s="14">
        <f t="shared" si="2"/>
        <v>8</v>
      </c>
      <c r="Q12" s="164">
        <f t="shared" si="3"/>
        <v>36</v>
      </c>
      <c r="R12" s="165"/>
      <c r="S12" s="8"/>
      <c r="T12" s="220" t="s">
        <v>230</v>
      </c>
      <c r="U12" s="221"/>
      <c r="V12" s="173">
        <f>Q19</f>
        <v>18</v>
      </c>
      <c r="W12" s="293"/>
      <c r="X12" s="294"/>
      <c r="Y12" s="295"/>
      <c r="Z12" s="227"/>
      <c r="AA12" s="224"/>
      <c r="AB12" s="227"/>
      <c r="AC12" s="261"/>
    </row>
    <row r="13" spans="1:29" ht="12.75" customHeight="1">
      <c r="A13" s="51"/>
      <c r="B13" s="13" t="s">
        <v>134</v>
      </c>
      <c r="C13" s="14">
        <v>2</v>
      </c>
      <c r="D13" s="14"/>
      <c r="E13" s="11">
        <v>1</v>
      </c>
      <c r="F13" s="15">
        <f t="shared" si="0"/>
        <v>2</v>
      </c>
      <c r="G13" s="13" t="s">
        <v>134</v>
      </c>
      <c r="H13" s="88">
        <v>2</v>
      </c>
      <c r="I13" s="14"/>
      <c r="J13" s="11">
        <v>6</v>
      </c>
      <c r="K13" s="15">
        <f t="shared" si="1"/>
        <v>12</v>
      </c>
      <c r="L13" s="13" t="s">
        <v>134</v>
      </c>
      <c r="M13" s="14">
        <v>2</v>
      </c>
      <c r="N13" s="14"/>
      <c r="O13" s="11">
        <v>2</v>
      </c>
      <c r="P13" s="14">
        <f t="shared" si="2"/>
        <v>4</v>
      </c>
      <c r="Q13" s="164">
        <f>P13+K13+F13</f>
        <v>18</v>
      </c>
      <c r="R13" s="165">
        <f>SUM(Q4:Q13)</f>
        <v>252</v>
      </c>
      <c r="S13" s="8"/>
      <c r="T13" s="220" t="s">
        <v>187</v>
      </c>
      <c r="U13" s="221"/>
      <c r="V13" s="173">
        <f>2+2</f>
        <v>4</v>
      </c>
      <c r="W13" s="293"/>
      <c r="X13" s="294"/>
      <c r="Y13" s="295"/>
      <c r="Z13" s="228"/>
      <c r="AA13" s="225"/>
      <c r="AB13" s="228"/>
      <c r="AC13" s="262"/>
    </row>
    <row r="14" spans="1:29" ht="12.75" customHeight="1">
      <c r="A14" s="282" t="s">
        <v>16</v>
      </c>
      <c r="B14" s="26" t="s">
        <v>197</v>
      </c>
      <c r="C14" s="24">
        <v>4</v>
      </c>
      <c r="D14" s="24" t="s">
        <v>97</v>
      </c>
      <c r="E14" s="24">
        <v>1</v>
      </c>
      <c r="F14" s="25">
        <f>C14*E14</f>
        <v>4</v>
      </c>
      <c r="G14" s="26" t="s">
        <v>193</v>
      </c>
      <c r="H14" s="24">
        <v>5</v>
      </c>
      <c r="I14" s="24"/>
      <c r="J14" s="24">
        <v>6</v>
      </c>
      <c r="K14" s="25">
        <f>H14*J14</f>
        <v>30</v>
      </c>
      <c r="L14" s="26" t="s">
        <v>139</v>
      </c>
      <c r="M14" s="24">
        <v>3</v>
      </c>
      <c r="N14" s="24" t="s">
        <v>133</v>
      </c>
      <c r="O14" s="24">
        <v>2</v>
      </c>
      <c r="P14" s="24">
        <f>M14*O14</f>
        <v>6</v>
      </c>
      <c r="Q14" s="160">
        <f>F14+K14+P14</f>
        <v>40</v>
      </c>
      <c r="R14" s="160"/>
      <c r="S14" s="8"/>
      <c r="T14" s="275" t="s">
        <v>55</v>
      </c>
      <c r="U14" s="276"/>
      <c r="V14" s="78">
        <f>Q6</f>
        <v>18</v>
      </c>
      <c r="W14" s="303">
        <f>SUM(V14:V20)</f>
        <v>62</v>
      </c>
      <c r="X14" s="304"/>
      <c r="Y14" s="305"/>
      <c r="Z14" s="227">
        <f>IF(W14&gt;119,6,IF(W14&gt;98,5,IF(W14&gt;77,4,IF(W14&gt;56,3,IF(W14&gt;30,2,IF(W14&gt;5,1,))))))</f>
        <v>3</v>
      </c>
      <c r="AA14" s="224">
        <v>3</v>
      </c>
      <c r="AB14" s="227">
        <f>AA14-Z14</f>
        <v>0</v>
      </c>
      <c r="AC14" s="261" t="str">
        <f>IF(AB14&lt;0,"EKSİK",IF(AB14&gt;0,"FAZLA","-"))</f>
        <v>-</v>
      </c>
    </row>
    <row r="15" spans="1:29" ht="12.75" customHeight="1">
      <c r="A15" s="309"/>
      <c r="B15" s="22" t="s">
        <v>198</v>
      </c>
      <c r="C15" s="19">
        <v>3</v>
      </c>
      <c r="D15" s="19" t="s">
        <v>247</v>
      </c>
      <c r="E15" s="19">
        <v>1</v>
      </c>
      <c r="F15" s="20">
        <f t="shared" ref="F15:F16" si="4">C15*E15</f>
        <v>3</v>
      </c>
      <c r="G15" s="22" t="s">
        <v>194</v>
      </c>
      <c r="H15" s="19">
        <v>2</v>
      </c>
      <c r="I15" s="19" t="s">
        <v>98</v>
      </c>
      <c r="J15" s="19">
        <v>6</v>
      </c>
      <c r="K15" s="20">
        <f>H15*J15</f>
        <v>12</v>
      </c>
      <c r="L15" s="22" t="s">
        <v>143</v>
      </c>
      <c r="M15" s="19">
        <v>4</v>
      </c>
      <c r="N15" s="19" t="s">
        <v>23</v>
      </c>
      <c r="O15" s="19">
        <v>2</v>
      </c>
      <c r="P15" s="19">
        <f>M15*O15</f>
        <v>8</v>
      </c>
      <c r="Q15" s="163">
        <f t="shared" ref="Q15:Q18" si="5">F15+K15+P15</f>
        <v>23</v>
      </c>
      <c r="R15" s="140">
        <f>SUM(Q14:Q18)+P20</f>
        <v>103</v>
      </c>
      <c r="S15" s="8"/>
      <c r="T15" s="275" t="s">
        <v>56</v>
      </c>
      <c r="U15" s="276"/>
      <c r="V15" s="78">
        <f>Q30</f>
        <v>14</v>
      </c>
      <c r="W15" s="303"/>
      <c r="X15" s="304"/>
      <c r="Y15" s="305"/>
      <c r="Z15" s="227"/>
      <c r="AA15" s="224"/>
      <c r="AB15" s="227"/>
      <c r="AC15" s="261"/>
    </row>
    <row r="16" spans="1:29" ht="12.75" customHeight="1">
      <c r="A16" s="309"/>
      <c r="B16" s="22" t="s">
        <v>142</v>
      </c>
      <c r="C16" s="19">
        <v>2</v>
      </c>
      <c r="D16" s="19" t="s">
        <v>97</v>
      </c>
      <c r="E16" s="19">
        <v>1</v>
      </c>
      <c r="F16" s="20">
        <f t="shared" si="4"/>
        <v>2</v>
      </c>
      <c r="G16" s="22" t="s">
        <v>195</v>
      </c>
      <c r="H16" s="19">
        <v>2</v>
      </c>
      <c r="I16" s="19"/>
      <c r="J16" s="19">
        <v>6</v>
      </c>
      <c r="K16" s="20">
        <f>H16*J16</f>
        <v>12</v>
      </c>
      <c r="L16" s="22" t="s">
        <v>141</v>
      </c>
      <c r="M16" s="19">
        <v>2</v>
      </c>
      <c r="N16" s="19"/>
      <c r="O16" s="19">
        <v>2</v>
      </c>
      <c r="P16" s="19">
        <f>M16*O16</f>
        <v>4</v>
      </c>
      <c r="Q16" s="163">
        <f t="shared" si="5"/>
        <v>18</v>
      </c>
      <c r="R16" s="163"/>
      <c r="S16" s="8"/>
      <c r="T16" s="275" t="s">
        <v>118</v>
      </c>
      <c r="U16" s="276"/>
      <c r="V16" s="78">
        <f>Q53</f>
        <v>12</v>
      </c>
      <c r="W16" s="303"/>
      <c r="X16" s="304"/>
      <c r="Y16" s="305"/>
      <c r="Z16" s="227"/>
      <c r="AA16" s="224"/>
      <c r="AB16" s="227"/>
      <c r="AC16" s="261"/>
    </row>
    <row r="17" spans="1:29" ht="12.75" customHeight="1">
      <c r="A17" s="309"/>
      <c r="B17" s="22"/>
      <c r="C17" s="19"/>
      <c r="D17" s="19"/>
      <c r="E17" s="19"/>
      <c r="F17" s="20"/>
      <c r="G17" s="22"/>
      <c r="H17" s="19"/>
      <c r="I17" s="19"/>
      <c r="J17" s="19"/>
      <c r="K17" s="20"/>
      <c r="L17" s="22"/>
      <c r="M17" s="19"/>
      <c r="N17" s="19"/>
      <c r="O17" s="19"/>
      <c r="P17" s="19"/>
      <c r="Q17" s="163">
        <f t="shared" si="5"/>
        <v>0</v>
      </c>
      <c r="R17" s="163"/>
      <c r="S17" s="8"/>
      <c r="T17" s="275" t="s">
        <v>111</v>
      </c>
      <c r="U17" s="276"/>
      <c r="V17" s="78">
        <f>Q77</f>
        <v>8</v>
      </c>
      <c r="W17" s="303"/>
      <c r="X17" s="304"/>
      <c r="Y17" s="305"/>
      <c r="Z17" s="227"/>
      <c r="AA17" s="224"/>
      <c r="AB17" s="227"/>
      <c r="AC17" s="261"/>
    </row>
    <row r="18" spans="1:29" ht="12.75" customHeight="1">
      <c r="A18" s="310"/>
      <c r="B18" s="29" t="s">
        <v>135</v>
      </c>
      <c r="C18" s="27">
        <v>2</v>
      </c>
      <c r="D18" s="27"/>
      <c r="E18" s="27">
        <v>1</v>
      </c>
      <c r="F18" s="28">
        <f>C18*E18</f>
        <v>2</v>
      </c>
      <c r="G18" s="29" t="s">
        <v>135</v>
      </c>
      <c r="H18" s="27">
        <v>2</v>
      </c>
      <c r="I18" s="27"/>
      <c r="J18" s="27">
        <v>6</v>
      </c>
      <c r="K18" s="28">
        <f t="shared" ref="K18" si="6">H18*J18</f>
        <v>12</v>
      </c>
      <c r="L18" s="29" t="s">
        <v>135</v>
      </c>
      <c r="M18" s="27">
        <v>2</v>
      </c>
      <c r="N18" s="27"/>
      <c r="O18" s="27">
        <v>2</v>
      </c>
      <c r="P18" s="27">
        <f t="shared" ref="P18" si="7">M18*O18</f>
        <v>4</v>
      </c>
      <c r="Q18" s="81">
        <f t="shared" si="5"/>
        <v>18</v>
      </c>
      <c r="R18" s="81"/>
      <c r="S18" s="8"/>
      <c r="T18" s="275" t="s">
        <v>187</v>
      </c>
      <c r="U18" s="276"/>
      <c r="V18" s="78">
        <v>0</v>
      </c>
      <c r="W18" s="303"/>
      <c r="X18" s="304"/>
      <c r="Y18" s="305"/>
      <c r="Z18" s="227"/>
      <c r="AA18" s="224"/>
      <c r="AB18" s="227"/>
      <c r="AC18" s="261"/>
    </row>
    <row r="19" spans="1:29" ht="12.75" customHeight="1">
      <c r="A19" s="195" t="s">
        <v>14</v>
      </c>
      <c r="B19" s="13" t="s">
        <v>230</v>
      </c>
      <c r="C19" s="11">
        <v>2</v>
      </c>
      <c r="D19" s="11"/>
      <c r="E19" s="11">
        <v>1</v>
      </c>
      <c r="F19" s="12">
        <f t="shared" si="0"/>
        <v>2</v>
      </c>
      <c r="G19" s="13" t="s">
        <v>230</v>
      </c>
      <c r="H19" s="88">
        <v>2</v>
      </c>
      <c r="I19" s="11"/>
      <c r="J19" s="11">
        <v>6</v>
      </c>
      <c r="K19" s="12">
        <f>H19*J19</f>
        <v>12</v>
      </c>
      <c r="L19" s="13" t="s">
        <v>230</v>
      </c>
      <c r="M19" s="11">
        <v>2</v>
      </c>
      <c r="N19" s="11"/>
      <c r="O19" s="11">
        <v>2</v>
      </c>
      <c r="P19" s="11">
        <f>M19*O19</f>
        <v>4</v>
      </c>
      <c r="Q19" s="164">
        <f>P19+K19+F19</f>
        <v>18</v>
      </c>
      <c r="R19" s="165"/>
      <c r="S19" s="8"/>
      <c r="T19" s="275" t="s">
        <v>244</v>
      </c>
      <c r="U19" s="276"/>
      <c r="V19" s="78">
        <f>K69+P69</f>
        <v>10</v>
      </c>
      <c r="W19" s="303"/>
      <c r="X19" s="304"/>
      <c r="Y19" s="305"/>
      <c r="Z19" s="227"/>
      <c r="AA19" s="224"/>
      <c r="AB19" s="227"/>
      <c r="AC19" s="261"/>
    </row>
    <row r="20" spans="1:29" ht="12.75" customHeight="1">
      <c r="A20" s="192"/>
      <c r="B20" s="13" t="s">
        <v>208</v>
      </c>
      <c r="C20" s="14">
        <v>2</v>
      </c>
      <c r="D20" s="196"/>
      <c r="E20" s="88">
        <v>1</v>
      </c>
      <c r="F20" s="89">
        <f t="shared" si="0"/>
        <v>2</v>
      </c>
      <c r="G20" s="13" t="s">
        <v>208</v>
      </c>
      <c r="H20" s="14">
        <v>2</v>
      </c>
      <c r="I20" s="196"/>
      <c r="J20" s="88">
        <v>6</v>
      </c>
      <c r="K20" s="89">
        <f>H20*J20</f>
        <v>12</v>
      </c>
      <c r="L20" s="13" t="s">
        <v>208</v>
      </c>
      <c r="M20" s="14">
        <v>2</v>
      </c>
      <c r="N20" s="196"/>
      <c r="O20" s="88">
        <v>2</v>
      </c>
      <c r="P20" s="203">
        <f>M20*O20</f>
        <v>4</v>
      </c>
      <c r="Q20" s="164">
        <f>P20+K20+F20</f>
        <v>18</v>
      </c>
      <c r="R20" s="165"/>
      <c r="S20" s="8"/>
      <c r="V20" s="78"/>
      <c r="W20" s="303"/>
      <c r="X20" s="304"/>
      <c r="Y20" s="305"/>
      <c r="Z20" s="227"/>
      <c r="AA20" s="224"/>
      <c r="AB20" s="227"/>
      <c r="AC20" s="261"/>
    </row>
    <row r="21" spans="1:29" ht="12.75" customHeight="1">
      <c r="A21" s="192"/>
      <c r="B21" s="13" t="s">
        <v>221</v>
      </c>
      <c r="C21" s="14">
        <v>1</v>
      </c>
      <c r="D21" s="196"/>
      <c r="E21" s="14">
        <v>1</v>
      </c>
      <c r="F21" s="89">
        <f t="shared" si="0"/>
        <v>1</v>
      </c>
      <c r="G21" s="13" t="s">
        <v>221</v>
      </c>
      <c r="H21" s="88">
        <v>1</v>
      </c>
      <c r="I21" s="196"/>
      <c r="J21" s="14">
        <v>6</v>
      </c>
      <c r="K21" s="89">
        <f>H21*J21</f>
        <v>6</v>
      </c>
      <c r="L21" s="13" t="s">
        <v>221</v>
      </c>
      <c r="M21" s="14">
        <v>1</v>
      </c>
      <c r="N21" s="196"/>
      <c r="O21" s="14">
        <v>2</v>
      </c>
      <c r="P21" s="14">
        <f>M21*O21</f>
        <v>2</v>
      </c>
      <c r="Q21" s="164">
        <f>P21+K21+F21</f>
        <v>9</v>
      </c>
      <c r="R21" s="165">
        <f>Q19+F20+K20+Q21</f>
        <v>41</v>
      </c>
      <c r="S21" s="8"/>
      <c r="T21" s="241" t="s">
        <v>58</v>
      </c>
      <c r="U21" s="242"/>
      <c r="V21" s="173">
        <f>Q8</f>
        <v>45</v>
      </c>
      <c r="W21" s="290">
        <f>SUM(V21:V25)</f>
        <v>104</v>
      </c>
      <c r="X21" s="291"/>
      <c r="Y21" s="292"/>
      <c r="Z21" s="263">
        <f>IF(W21&gt;119,6,IF(W21&gt;98,5,IF(W21&gt;77,4,IF(W21&gt;56,3,IF(W21&gt;30,2,IF(W21&gt;5,1,))))))</f>
        <v>5</v>
      </c>
      <c r="AA21" s="263">
        <v>5</v>
      </c>
      <c r="AB21" s="263">
        <f>AA21-Z21</f>
        <v>0</v>
      </c>
      <c r="AC21" s="318" t="s">
        <v>132</v>
      </c>
    </row>
    <row r="22" spans="1:29" ht="12.75" customHeight="1">
      <c r="A22" s="192"/>
      <c r="B22" s="13"/>
      <c r="C22" s="14"/>
      <c r="D22" s="196"/>
      <c r="E22" s="14"/>
      <c r="F22" s="89"/>
      <c r="G22" s="13"/>
      <c r="H22" s="88"/>
      <c r="I22" s="196"/>
      <c r="J22" s="14"/>
      <c r="K22" s="89"/>
      <c r="L22" s="13"/>
      <c r="M22" s="14"/>
      <c r="N22" s="196"/>
      <c r="O22" s="14"/>
      <c r="P22" s="14"/>
      <c r="Q22" s="164"/>
      <c r="R22" s="165"/>
      <c r="S22" s="8"/>
      <c r="T22" s="241" t="s">
        <v>59</v>
      </c>
      <c r="U22" s="242"/>
      <c r="V22" s="173">
        <f>Q36</f>
        <v>35</v>
      </c>
      <c r="W22" s="293"/>
      <c r="X22" s="294"/>
      <c r="Y22" s="295"/>
      <c r="Z22" s="264"/>
      <c r="AA22" s="264"/>
      <c r="AB22" s="264"/>
      <c r="AC22" s="319"/>
    </row>
    <row r="23" spans="1:29" ht="12.75" customHeight="1" thickBot="1">
      <c r="A23" s="6" t="s">
        <v>24</v>
      </c>
      <c r="B23" s="16"/>
      <c r="C23" s="17">
        <f>SUM(C4:C21)</f>
        <v>44</v>
      </c>
      <c r="D23" s="17"/>
      <c r="E23" s="17"/>
      <c r="F23" s="18">
        <f>SUM(F4:F21)</f>
        <v>44</v>
      </c>
      <c r="G23" s="16"/>
      <c r="H23" s="17">
        <f>SUM(H4:H21)</f>
        <v>44</v>
      </c>
      <c r="I23" s="17"/>
      <c r="J23" s="17"/>
      <c r="K23" s="18">
        <f>SUM(K4:K21)</f>
        <v>264</v>
      </c>
      <c r="L23" s="16"/>
      <c r="M23" s="17">
        <f>SUM(M4:M21)</f>
        <v>44</v>
      </c>
      <c r="N23" s="17"/>
      <c r="O23" s="17"/>
      <c r="P23" s="18">
        <f>SUM(P4:P21)</f>
        <v>88</v>
      </c>
      <c r="Q23" s="162">
        <f>SUM(Q4:Q21)</f>
        <v>396</v>
      </c>
      <c r="R23" s="162">
        <f>R13+R15+R21</f>
        <v>396</v>
      </c>
      <c r="S23" s="8"/>
      <c r="T23" s="241" t="s">
        <v>242</v>
      </c>
      <c r="U23" s="242"/>
      <c r="V23" s="173">
        <f>F65+K65+P65</f>
        <v>16</v>
      </c>
      <c r="W23" s="293"/>
      <c r="X23" s="294"/>
      <c r="Y23" s="295"/>
      <c r="Z23" s="264"/>
      <c r="AA23" s="264"/>
      <c r="AB23" s="264"/>
      <c r="AC23" s="319"/>
    </row>
    <row r="24" spans="1:29" ht="12.75" customHeight="1" thickBot="1">
      <c r="G24" s="197"/>
      <c r="H24" s="64"/>
      <c r="I24" s="64"/>
      <c r="J24" s="64"/>
      <c r="K24" s="64"/>
      <c r="L24" s="197"/>
      <c r="M24" s="64"/>
      <c r="N24" s="44"/>
      <c r="O24" s="44"/>
      <c r="P24" s="44"/>
      <c r="Q24" s="166"/>
      <c r="R24" s="167"/>
      <c r="S24" s="8"/>
      <c r="T24" s="241" t="s">
        <v>187</v>
      </c>
      <c r="U24" s="242"/>
      <c r="V24" s="173">
        <f>4+4</f>
        <v>8</v>
      </c>
      <c r="W24" s="293"/>
      <c r="X24" s="294"/>
      <c r="Y24" s="295"/>
      <c r="Z24" s="264"/>
      <c r="AA24" s="264"/>
      <c r="AB24" s="264"/>
      <c r="AC24" s="319"/>
    </row>
    <row r="25" spans="1:29" ht="12.75" customHeight="1" thickBot="1">
      <c r="A25" s="5" t="s">
        <v>0</v>
      </c>
      <c r="B25" s="248" t="s">
        <v>263</v>
      </c>
      <c r="C25" s="248"/>
      <c r="D25" s="248"/>
      <c r="E25" s="248"/>
      <c r="F25" s="248"/>
      <c r="G25" s="248" t="s">
        <v>264</v>
      </c>
      <c r="H25" s="248"/>
      <c r="I25" s="248"/>
      <c r="J25" s="248"/>
      <c r="K25" s="248"/>
      <c r="L25" s="248" t="s">
        <v>265</v>
      </c>
      <c r="M25" s="248"/>
      <c r="N25" s="248"/>
      <c r="O25" s="248"/>
      <c r="P25" s="248"/>
      <c r="Q25" s="286" t="s">
        <v>26</v>
      </c>
      <c r="R25" s="286" t="s">
        <v>17</v>
      </c>
      <c r="S25" s="8"/>
      <c r="T25" s="241"/>
      <c r="U25" s="242"/>
      <c r="V25" s="173"/>
      <c r="W25" s="296"/>
      <c r="X25" s="297"/>
      <c r="Y25" s="298"/>
      <c r="Z25" s="299"/>
      <c r="AA25" s="299"/>
      <c r="AB25" s="299"/>
      <c r="AC25" s="320"/>
    </row>
    <row r="26" spans="1:29" ht="12.75" customHeight="1" thickBot="1">
      <c r="A26" s="147" t="s">
        <v>1</v>
      </c>
      <c r="B26" s="7" t="s">
        <v>160</v>
      </c>
      <c r="C26" s="2" t="s">
        <v>4</v>
      </c>
      <c r="D26" s="2" t="s">
        <v>5</v>
      </c>
      <c r="E26" s="2" t="s">
        <v>6</v>
      </c>
      <c r="F26" s="3" t="s">
        <v>26</v>
      </c>
      <c r="G26" s="7" t="s">
        <v>3</v>
      </c>
      <c r="H26" s="2" t="s">
        <v>4</v>
      </c>
      <c r="I26" s="2" t="s">
        <v>5</v>
      </c>
      <c r="J26" s="2" t="s">
        <v>6</v>
      </c>
      <c r="K26" s="3" t="s">
        <v>26</v>
      </c>
      <c r="L26" s="7" t="s">
        <v>147</v>
      </c>
      <c r="M26" s="2" t="s">
        <v>4</v>
      </c>
      <c r="N26" s="2" t="s">
        <v>5</v>
      </c>
      <c r="O26" s="2" t="s">
        <v>6</v>
      </c>
      <c r="P26" s="3" t="s">
        <v>26</v>
      </c>
      <c r="Q26" s="287"/>
      <c r="R26" s="287"/>
      <c r="S26" s="8"/>
      <c r="T26" s="232" t="s">
        <v>57</v>
      </c>
      <c r="U26" s="233"/>
      <c r="V26" s="78">
        <f>Q7</f>
        <v>18</v>
      </c>
      <c r="W26" s="234">
        <f>SUM(V26:V28)</f>
        <v>42</v>
      </c>
      <c r="X26" s="234"/>
      <c r="Y26" s="234"/>
      <c r="Z26" s="321">
        <f>W26/21</f>
        <v>2</v>
      </c>
      <c r="AA26" s="258">
        <v>2</v>
      </c>
      <c r="AB26" s="321">
        <f>AA26-Z26</f>
        <v>0</v>
      </c>
      <c r="AC26" s="260" t="s">
        <v>132</v>
      </c>
    </row>
    <row r="27" spans="1:29" ht="12.75" customHeight="1">
      <c r="A27" s="265" t="s">
        <v>15</v>
      </c>
      <c r="B27" s="21" t="s">
        <v>99</v>
      </c>
      <c r="C27" s="11">
        <v>4</v>
      </c>
      <c r="D27" s="11"/>
      <c r="E27" s="11">
        <v>1</v>
      </c>
      <c r="F27" s="12">
        <f t="shared" ref="F27:F39" si="8">C27*E27</f>
        <v>4</v>
      </c>
      <c r="G27" s="21" t="s">
        <v>99</v>
      </c>
      <c r="H27" s="11">
        <v>4</v>
      </c>
      <c r="I27" s="11"/>
      <c r="J27" s="11">
        <v>4</v>
      </c>
      <c r="K27" s="12">
        <f t="shared" ref="K27:K41" si="9">H27*J27</f>
        <v>16</v>
      </c>
      <c r="L27" s="21" t="s">
        <v>99</v>
      </c>
      <c r="M27" s="11">
        <v>4</v>
      </c>
      <c r="N27" s="11"/>
      <c r="O27" s="11">
        <v>2</v>
      </c>
      <c r="P27" s="11">
        <f t="shared" ref="P27:P37" si="10">M27*O27</f>
        <v>8</v>
      </c>
      <c r="Q27" s="164">
        <f>P27+K27+F27</f>
        <v>28</v>
      </c>
      <c r="R27" s="164"/>
      <c r="S27" s="8"/>
      <c r="T27" s="232" t="s">
        <v>77</v>
      </c>
      <c r="U27" s="233"/>
      <c r="V27" s="78">
        <f>Q31</f>
        <v>14</v>
      </c>
      <c r="W27" s="234"/>
      <c r="X27" s="234"/>
      <c r="Y27" s="234"/>
      <c r="Z27" s="321"/>
      <c r="AA27" s="258"/>
      <c r="AB27" s="321"/>
      <c r="AC27" s="261"/>
    </row>
    <row r="28" spans="1:29" ht="12.75" customHeight="1">
      <c r="A28" s="265"/>
      <c r="B28" s="21" t="s">
        <v>22</v>
      </c>
      <c r="C28" s="11">
        <v>2</v>
      </c>
      <c r="D28" s="11"/>
      <c r="E28" s="11">
        <v>1</v>
      </c>
      <c r="F28" s="12">
        <f t="shared" si="8"/>
        <v>2</v>
      </c>
      <c r="G28" s="21" t="s">
        <v>22</v>
      </c>
      <c r="H28" s="11">
        <v>2</v>
      </c>
      <c r="I28" s="11"/>
      <c r="J28" s="11">
        <v>4</v>
      </c>
      <c r="K28" s="12">
        <f t="shared" si="9"/>
        <v>8</v>
      </c>
      <c r="L28" s="21" t="s">
        <v>22</v>
      </c>
      <c r="M28" s="11">
        <v>2</v>
      </c>
      <c r="N28" s="11"/>
      <c r="O28" s="11">
        <v>2</v>
      </c>
      <c r="P28" s="11">
        <f t="shared" si="10"/>
        <v>4</v>
      </c>
      <c r="Q28" s="164">
        <f>F28+K28+P28</f>
        <v>14</v>
      </c>
      <c r="R28" s="164"/>
      <c r="S28" s="8"/>
      <c r="T28" s="232" t="s">
        <v>232</v>
      </c>
      <c r="U28" s="233"/>
      <c r="V28" s="78">
        <f>K67+P67</f>
        <v>10</v>
      </c>
      <c r="W28" s="234"/>
      <c r="X28" s="234"/>
      <c r="Y28" s="234"/>
      <c r="Z28" s="321"/>
      <c r="AA28" s="258"/>
      <c r="AB28" s="321"/>
      <c r="AC28" s="262"/>
    </row>
    <row r="29" spans="1:29" ht="12.75" customHeight="1">
      <c r="A29" s="265"/>
      <c r="B29" s="21" t="s">
        <v>8</v>
      </c>
      <c r="C29" s="11">
        <v>2</v>
      </c>
      <c r="D29" s="11"/>
      <c r="E29" s="11">
        <v>1</v>
      </c>
      <c r="F29" s="12">
        <f t="shared" si="8"/>
        <v>2</v>
      </c>
      <c r="G29" s="21" t="s">
        <v>8</v>
      </c>
      <c r="H29" s="11">
        <v>2</v>
      </c>
      <c r="I29" s="11"/>
      <c r="J29" s="11">
        <v>4</v>
      </c>
      <c r="K29" s="12">
        <f t="shared" si="9"/>
        <v>8</v>
      </c>
      <c r="L29" s="21" t="s">
        <v>8</v>
      </c>
      <c r="M29" s="11">
        <v>2</v>
      </c>
      <c r="N29" s="11"/>
      <c r="O29" s="11">
        <v>2</v>
      </c>
      <c r="P29" s="11">
        <f t="shared" si="10"/>
        <v>4</v>
      </c>
      <c r="Q29" s="164">
        <f t="shared" ref="Q29:Q37" si="11">P29+K29+F29</f>
        <v>14</v>
      </c>
      <c r="R29" s="164"/>
      <c r="S29" s="8"/>
      <c r="T29" s="241" t="s">
        <v>60</v>
      </c>
      <c r="U29" s="242"/>
      <c r="V29" s="173">
        <f>Q13</f>
        <v>18</v>
      </c>
      <c r="W29" s="290">
        <f>SUM(V29:V31)</f>
        <v>44</v>
      </c>
      <c r="X29" s="291"/>
      <c r="Y29" s="292"/>
      <c r="Z29" s="226">
        <f>W29/21</f>
        <v>2.0952380952380953</v>
      </c>
      <c r="AA29" s="223">
        <v>2</v>
      </c>
      <c r="AB29" s="226">
        <f>AA29-Z29</f>
        <v>-9.5238095238095344E-2</v>
      </c>
      <c r="AC29" s="260" t="s">
        <v>132</v>
      </c>
    </row>
    <row r="30" spans="1:29" ht="12.75" customHeight="1">
      <c r="A30" s="265"/>
      <c r="B30" s="21" t="s">
        <v>9</v>
      </c>
      <c r="C30" s="11">
        <v>2</v>
      </c>
      <c r="D30" s="11"/>
      <c r="E30" s="11">
        <v>1</v>
      </c>
      <c r="F30" s="12">
        <f t="shared" si="8"/>
        <v>2</v>
      </c>
      <c r="G30" s="21" t="s">
        <v>9</v>
      </c>
      <c r="H30" s="11">
        <v>2</v>
      </c>
      <c r="I30" s="11"/>
      <c r="J30" s="11">
        <v>4</v>
      </c>
      <c r="K30" s="12">
        <f t="shared" si="9"/>
        <v>8</v>
      </c>
      <c r="L30" s="21" t="s">
        <v>9</v>
      </c>
      <c r="M30" s="11">
        <v>2</v>
      </c>
      <c r="N30" s="11"/>
      <c r="O30" s="11">
        <v>2</v>
      </c>
      <c r="P30" s="11">
        <f t="shared" si="10"/>
        <v>4</v>
      </c>
      <c r="Q30" s="164">
        <f t="shared" si="11"/>
        <v>14</v>
      </c>
      <c r="R30" s="164"/>
      <c r="S30" s="8"/>
      <c r="T30" s="241" t="s">
        <v>61</v>
      </c>
      <c r="U30" s="242"/>
      <c r="V30" s="173">
        <f>Q37</f>
        <v>14</v>
      </c>
      <c r="W30" s="293"/>
      <c r="X30" s="294"/>
      <c r="Y30" s="295"/>
      <c r="Z30" s="227"/>
      <c r="AA30" s="224"/>
      <c r="AB30" s="227"/>
      <c r="AC30" s="261"/>
    </row>
    <row r="31" spans="1:29" ht="12.75" customHeight="1">
      <c r="A31" s="265"/>
      <c r="B31" s="21" t="s">
        <v>10</v>
      </c>
      <c r="C31" s="11">
        <v>2</v>
      </c>
      <c r="D31" s="11"/>
      <c r="E31" s="11">
        <v>1</v>
      </c>
      <c r="F31" s="12">
        <f t="shared" si="8"/>
        <v>2</v>
      </c>
      <c r="G31" s="21" t="s">
        <v>10</v>
      </c>
      <c r="H31" s="11">
        <v>2</v>
      </c>
      <c r="I31" s="11"/>
      <c r="J31" s="11">
        <v>4</v>
      </c>
      <c r="K31" s="12">
        <f t="shared" si="9"/>
        <v>8</v>
      </c>
      <c r="L31" s="21" t="s">
        <v>10</v>
      </c>
      <c r="M31" s="11">
        <v>2</v>
      </c>
      <c r="N31" s="11"/>
      <c r="O31" s="11">
        <v>2</v>
      </c>
      <c r="P31" s="11">
        <f t="shared" si="10"/>
        <v>4</v>
      </c>
      <c r="Q31" s="164">
        <f t="shared" si="11"/>
        <v>14</v>
      </c>
      <c r="R31" s="164"/>
      <c r="S31" s="8"/>
      <c r="T31" s="220" t="s">
        <v>62</v>
      </c>
      <c r="U31" s="221"/>
      <c r="V31" s="173">
        <f>Q55</f>
        <v>12</v>
      </c>
      <c r="W31" s="296"/>
      <c r="X31" s="297"/>
      <c r="Y31" s="298"/>
      <c r="Z31" s="228"/>
      <c r="AA31" s="225"/>
      <c r="AB31" s="228"/>
      <c r="AC31" s="262"/>
    </row>
    <row r="32" spans="1:29" ht="12.75" customHeight="1">
      <c r="A32" s="265"/>
      <c r="B32" s="21" t="s">
        <v>11</v>
      </c>
      <c r="C32" s="11">
        <v>2</v>
      </c>
      <c r="D32" s="11"/>
      <c r="E32" s="11">
        <v>1</v>
      </c>
      <c r="F32" s="12">
        <f t="shared" si="8"/>
        <v>2</v>
      </c>
      <c r="G32" s="21" t="s">
        <v>11</v>
      </c>
      <c r="H32" s="11">
        <v>2</v>
      </c>
      <c r="I32" s="11"/>
      <c r="J32" s="11">
        <v>4</v>
      </c>
      <c r="K32" s="12">
        <f t="shared" si="9"/>
        <v>8</v>
      </c>
      <c r="L32" s="21" t="s">
        <v>11</v>
      </c>
      <c r="M32" s="11">
        <v>2</v>
      </c>
      <c r="N32" s="11"/>
      <c r="O32" s="11">
        <v>2</v>
      </c>
      <c r="P32" s="11">
        <f t="shared" si="10"/>
        <v>4</v>
      </c>
      <c r="Q32" s="164">
        <f>P32+K32+F32</f>
        <v>14</v>
      </c>
      <c r="R32" s="164"/>
      <c r="S32" s="8"/>
      <c r="T32" s="275" t="s">
        <v>180</v>
      </c>
      <c r="U32" s="276"/>
      <c r="V32" s="78">
        <f>Q9</f>
        <v>18</v>
      </c>
      <c r="W32" s="313">
        <f>SUM(V32:V34)</f>
        <v>34</v>
      </c>
      <c r="X32" s="313"/>
      <c r="Y32" s="313"/>
      <c r="Z32" s="263">
        <f>W32/21</f>
        <v>1.6190476190476191</v>
      </c>
      <c r="AA32" s="223">
        <v>3</v>
      </c>
      <c r="AB32" s="226">
        <f>AA32-Z32</f>
        <v>1.3809523809523809</v>
      </c>
      <c r="AC32" s="260" t="s">
        <v>280</v>
      </c>
    </row>
    <row r="33" spans="1:29" ht="12.75" customHeight="1">
      <c r="A33" s="265"/>
      <c r="B33" s="21" t="s">
        <v>19</v>
      </c>
      <c r="C33" s="11">
        <v>2</v>
      </c>
      <c r="D33" s="11"/>
      <c r="E33" s="11">
        <v>1</v>
      </c>
      <c r="F33" s="12">
        <f t="shared" si="8"/>
        <v>2</v>
      </c>
      <c r="G33" s="21" t="s">
        <v>19</v>
      </c>
      <c r="H33" s="11">
        <v>2</v>
      </c>
      <c r="I33" s="11"/>
      <c r="J33" s="11">
        <v>4</v>
      </c>
      <c r="K33" s="12">
        <f t="shared" si="9"/>
        <v>8</v>
      </c>
      <c r="L33" s="21" t="s">
        <v>19</v>
      </c>
      <c r="M33" s="11">
        <v>2</v>
      </c>
      <c r="N33" s="11"/>
      <c r="O33" s="11">
        <v>2</v>
      </c>
      <c r="P33" s="11">
        <f t="shared" si="10"/>
        <v>4</v>
      </c>
      <c r="Q33" s="164">
        <f t="shared" si="11"/>
        <v>14</v>
      </c>
      <c r="R33" s="164"/>
      <c r="S33" s="8"/>
      <c r="T33" s="275" t="s">
        <v>181</v>
      </c>
      <c r="U33" s="276"/>
      <c r="V33" s="78">
        <f>Q33</f>
        <v>14</v>
      </c>
      <c r="W33" s="314"/>
      <c r="X33" s="314"/>
      <c r="Y33" s="314"/>
      <c r="Z33" s="264"/>
      <c r="AA33" s="224"/>
      <c r="AB33" s="227"/>
      <c r="AC33" s="261"/>
    </row>
    <row r="34" spans="1:29" ht="12.75" customHeight="1">
      <c r="A34" s="265"/>
      <c r="B34" s="21" t="s">
        <v>20</v>
      </c>
      <c r="C34" s="11">
        <v>2</v>
      </c>
      <c r="D34" s="11"/>
      <c r="E34" s="11">
        <v>1</v>
      </c>
      <c r="F34" s="12">
        <f t="shared" si="8"/>
        <v>2</v>
      </c>
      <c r="G34" s="21" t="s">
        <v>20</v>
      </c>
      <c r="H34" s="11">
        <v>2</v>
      </c>
      <c r="I34" s="11"/>
      <c r="J34" s="11">
        <v>4</v>
      </c>
      <c r="K34" s="12">
        <f t="shared" si="9"/>
        <v>8</v>
      </c>
      <c r="L34" s="21" t="s">
        <v>20</v>
      </c>
      <c r="M34" s="11">
        <v>2</v>
      </c>
      <c r="N34" s="11"/>
      <c r="O34" s="11">
        <v>2</v>
      </c>
      <c r="P34" s="11">
        <f t="shared" si="10"/>
        <v>4</v>
      </c>
      <c r="Q34" s="164">
        <f t="shared" si="11"/>
        <v>14</v>
      </c>
      <c r="R34" s="164"/>
      <c r="S34" s="8"/>
      <c r="T34" s="232" t="s">
        <v>246</v>
      </c>
      <c r="U34" s="233"/>
      <c r="V34" s="78">
        <f>F20</f>
        <v>2</v>
      </c>
      <c r="W34" s="314"/>
      <c r="X34" s="314"/>
      <c r="Y34" s="314"/>
      <c r="Z34" s="264"/>
      <c r="AA34" s="224"/>
      <c r="AB34" s="227"/>
      <c r="AC34" s="262"/>
    </row>
    <row r="35" spans="1:29" ht="12.75" customHeight="1">
      <c r="A35" s="265"/>
      <c r="B35" s="21" t="s">
        <v>21</v>
      </c>
      <c r="C35" s="11">
        <v>2</v>
      </c>
      <c r="D35" s="11"/>
      <c r="E35" s="11">
        <v>1</v>
      </c>
      <c r="F35" s="12">
        <f t="shared" si="8"/>
        <v>2</v>
      </c>
      <c r="G35" s="21" t="s">
        <v>21</v>
      </c>
      <c r="H35" s="11">
        <v>2</v>
      </c>
      <c r="I35" s="11"/>
      <c r="J35" s="11">
        <v>4</v>
      </c>
      <c r="K35" s="12">
        <f t="shared" si="9"/>
        <v>8</v>
      </c>
      <c r="L35" s="21" t="s">
        <v>21</v>
      </c>
      <c r="M35" s="11">
        <v>2</v>
      </c>
      <c r="N35" s="11"/>
      <c r="O35" s="11">
        <v>2</v>
      </c>
      <c r="P35" s="11">
        <f t="shared" si="10"/>
        <v>4</v>
      </c>
      <c r="Q35" s="164">
        <f t="shared" si="11"/>
        <v>14</v>
      </c>
      <c r="R35" s="164"/>
      <c r="S35" s="8"/>
      <c r="T35" s="311" t="s">
        <v>169</v>
      </c>
      <c r="U35" s="312"/>
      <c r="V35" s="185">
        <f>Q56</f>
        <v>6</v>
      </c>
      <c r="W35" s="315">
        <f>V35</f>
        <v>6</v>
      </c>
      <c r="X35" s="316"/>
      <c r="Y35" s="317"/>
      <c r="Z35" s="184">
        <v>1</v>
      </c>
      <c r="AA35" s="182">
        <v>1</v>
      </c>
      <c r="AB35" s="183" t="s">
        <v>132</v>
      </c>
      <c r="AC35" s="198" t="s">
        <v>132</v>
      </c>
    </row>
    <row r="36" spans="1:29" ht="12.75" customHeight="1">
      <c r="A36" s="265"/>
      <c r="B36" s="21" t="s">
        <v>18</v>
      </c>
      <c r="C36" s="11">
        <v>5</v>
      </c>
      <c r="D36" s="11"/>
      <c r="E36" s="11">
        <v>1</v>
      </c>
      <c r="F36" s="12">
        <f t="shared" si="8"/>
        <v>5</v>
      </c>
      <c r="G36" s="21" t="s">
        <v>18</v>
      </c>
      <c r="H36" s="11">
        <v>5</v>
      </c>
      <c r="I36" s="11"/>
      <c r="J36" s="11">
        <v>4</v>
      </c>
      <c r="K36" s="12">
        <f t="shared" si="9"/>
        <v>20</v>
      </c>
      <c r="L36" s="21" t="s">
        <v>18</v>
      </c>
      <c r="M36" s="11">
        <v>5</v>
      </c>
      <c r="N36" s="11"/>
      <c r="O36" s="11">
        <v>2</v>
      </c>
      <c r="P36" s="11">
        <f t="shared" si="10"/>
        <v>10</v>
      </c>
      <c r="Q36" s="164">
        <f t="shared" si="11"/>
        <v>35</v>
      </c>
      <c r="R36" s="164"/>
      <c r="S36" s="96"/>
      <c r="T36" s="241" t="s">
        <v>63</v>
      </c>
      <c r="U36" s="242"/>
      <c r="V36" s="173">
        <f>Q10</f>
        <v>18</v>
      </c>
      <c r="W36" s="290">
        <f>SUM(V36:V38)</f>
        <v>34</v>
      </c>
      <c r="X36" s="291"/>
      <c r="Y36" s="291"/>
      <c r="Z36" s="263">
        <f>W36/21</f>
        <v>1.6190476190476191</v>
      </c>
      <c r="AA36" s="223">
        <v>2</v>
      </c>
      <c r="AB36" s="226">
        <f>AA36-Z36</f>
        <v>0.38095238095238093</v>
      </c>
      <c r="AC36" s="260" t="s">
        <v>132</v>
      </c>
    </row>
    <row r="37" spans="1:29" ht="12.75" customHeight="1">
      <c r="A37" s="265"/>
      <c r="B37" s="13" t="s">
        <v>134</v>
      </c>
      <c r="C37" s="42">
        <v>2</v>
      </c>
      <c r="D37" s="42"/>
      <c r="E37" s="42">
        <v>1</v>
      </c>
      <c r="F37" s="43">
        <f t="shared" si="8"/>
        <v>2</v>
      </c>
      <c r="G37" s="21" t="s">
        <v>12</v>
      </c>
      <c r="H37" s="11">
        <v>2</v>
      </c>
      <c r="I37" s="11"/>
      <c r="J37" s="11">
        <v>4</v>
      </c>
      <c r="K37" s="12">
        <f t="shared" si="9"/>
        <v>8</v>
      </c>
      <c r="L37" s="13" t="s">
        <v>134</v>
      </c>
      <c r="M37" s="11">
        <v>2</v>
      </c>
      <c r="N37" s="11"/>
      <c r="O37" s="11">
        <v>2</v>
      </c>
      <c r="P37" s="11">
        <f t="shared" si="10"/>
        <v>4</v>
      </c>
      <c r="Q37" s="164">
        <f t="shared" si="11"/>
        <v>14</v>
      </c>
      <c r="R37" s="164">
        <f>SUM(Q27:Q37)+F43</f>
        <v>191</v>
      </c>
      <c r="S37" s="96"/>
      <c r="T37" s="241" t="s">
        <v>64</v>
      </c>
      <c r="U37" s="242"/>
      <c r="V37" s="173">
        <f>Q34</f>
        <v>14</v>
      </c>
      <c r="W37" s="293"/>
      <c r="X37" s="294"/>
      <c r="Y37" s="294"/>
      <c r="Z37" s="264"/>
      <c r="AA37" s="224"/>
      <c r="AB37" s="227"/>
      <c r="AC37" s="261"/>
    </row>
    <row r="38" spans="1:29" ht="12.75" customHeight="1">
      <c r="A38" s="282" t="s">
        <v>16</v>
      </c>
      <c r="B38" s="26" t="s">
        <v>233</v>
      </c>
      <c r="C38" s="24">
        <v>10</v>
      </c>
      <c r="D38" s="24" t="s">
        <v>97</v>
      </c>
      <c r="E38" s="24">
        <v>1</v>
      </c>
      <c r="F38" s="25">
        <f t="shared" si="8"/>
        <v>10</v>
      </c>
      <c r="G38" s="26" t="s">
        <v>166</v>
      </c>
      <c r="H38" s="24">
        <v>2</v>
      </c>
      <c r="I38" s="24" t="s">
        <v>133</v>
      </c>
      <c r="J38" s="24">
        <v>4</v>
      </c>
      <c r="K38" s="25">
        <f t="shared" si="9"/>
        <v>8</v>
      </c>
      <c r="L38" s="26" t="s">
        <v>100</v>
      </c>
      <c r="M38" s="24">
        <v>3</v>
      </c>
      <c r="N38" s="24"/>
      <c r="O38" s="24">
        <v>2</v>
      </c>
      <c r="P38" s="25">
        <f>M38*O38</f>
        <v>6</v>
      </c>
      <c r="Q38" s="160">
        <f>F38+K38+P38</f>
        <v>24</v>
      </c>
      <c r="R38" s="168"/>
      <c r="S38" s="96"/>
      <c r="T38" s="241" t="s">
        <v>241</v>
      </c>
      <c r="U38" s="242"/>
      <c r="V38" s="173">
        <f>F43</f>
        <v>2</v>
      </c>
      <c r="W38" s="296"/>
      <c r="X38" s="297"/>
      <c r="Y38" s="297"/>
      <c r="Z38" s="299"/>
      <c r="AA38" s="225"/>
      <c r="AB38" s="228"/>
      <c r="AC38" s="262"/>
    </row>
    <row r="39" spans="1:29" ht="12.75" customHeight="1">
      <c r="A39" s="309"/>
      <c r="B39" s="22" t="s">
        <v>161</v>
      </c>
      <c r="C39" s="19">
        <v>3</v>
      </c>
      <c r="D39" s="19" t="s">
        <v>97</v>
      </c>
      <c r="E39" s="19">
        <v>1</v>
      </c>
      <c r="F39" s="20">
        <f t="shared" si="8"/>
        <v>3</v>
      </c>
      <c r="G39" s="22" t="s">
        <v>165</v>
      </c>
      <c r="H39" s="19">
        <v>2</v>
      </c>
      <c r="I39" s="19"/>
      <c r="J39" s="19">
        <v>4</v>
      </c>
      <c r="K39" s="20">
        <f t="shared" si="9"/>
        <v>8</v>
      </c>
      <c r="L39" s="22" t="s">
        <v>162</v>
      </c>
      <c r="M39" s="19">
        <v>4</v>
      </c>
      <c r="N39" s="19" t="s">
        <v>133</v>
      </c>
      <c r="O39" s="19">
        <v>2</v>
      </c>
      <c r="P39" s="19">
        <f>M39*O39</f>
        <v>8</v>
      </c>
      <c r="Q39" s="161">
        <f>F39+K39+P39</f>
        <v>19</v>
      </c>
      <c r="R39" s="169"/>
      <c r="S39" s="96"/>
      <c r="T39" s="233" t="s">
        <v>65</v>
      </c>
      <c r="U39" s="240"/>
      <c r="V39" s="78">
        <f>Q11</f>
        <v>18</v>
      </c>
      <c r="W39" s="300">
        <f>SUM(V39:V42)+V43</f>
        <v>68</v>
      </c>
      <c r="X39" s="301"/>
      <c r="Y39" s="302"/>
      <c r="Z39" s="226">
        <f>W39/21</f>
        <v>3.2380952380952381</v>
      </c>
      <c r="AA39" s="223">
        <v>3</v>
      </c>
      <c r="AB39" s="226">
        <f>AA39-Z39</f>
        <v>-0.23809523809523814</v>
      </c>
      <c r="AC39" s="260" t="s">
        <v>132</v>
      </c>
    </row>
    <row r="40" spans="1:29" ht="12.75" customHeight="1">
      <c r="A40" s="309"/>
      <c r="B40" s="22"/>
      <c r="C40" s="19"/>
      <c r="D40" s="19"/>
      <c r="E40" s="19"/>
      <c r="F40" s="20"/>
      <c r="G40" s="22" t="s">
        <v>196</v>
      </c>
      <c r="H40" s="19">
        <v>7</v>
      </c>
      <c r="I40" s="19"/>
      <c r="J40" s="19">
        <v>4</v>
      </c>
      <c r="K40" s="20">
        <f t="shared" si="9"/>
        <v>28</v>
      </c>
      <c r="L40" s="22" t="s">
        <v>164</v>
      </c>
      <c r="M40" s="19">
        <v>2</v>
      </c>
      <c r="N40" s="19" t="s">
        <v>133</v>
      </c>
      <c r="O40" s="19">
        <v>2</v>
      </c>
      <c r="P40" s="19">
        <f>M40*O40</f>
        <v>4</v>
      </c>
      <c r="Q40" s="161">
        <f>K40+P40</f>
        <v>32</v>
      </c>
      <c r="R40" s="169"/>
      <c r="S40" s="96"/>
      <c r="T40" s="233" t="s">
        <v>66</v>
      </c>
      <c r="U40" s="240"/>
      <c r="V40" s="78">
        <f>Q35</f>
        <v>14</v>
      </c>
      <c r="W40" s="303"/>
      <c r="X40" s="304"/>
      <c r="Y40" s="305"/>
      <c r="Z40" s="227"/>
      <c r="AA40" s="224"/>
      <c r="AB40" s="227"/>
      <c r="AC40" s="261"/>
    </row>
    <row r="41" spans="1:29" ht="12.75" customHeight="1">
      <c r="A41" s="309"/>
      <c r="B41" s="22"/>
      <c r="C41" s="19"/>
      <c r="D41" s="19"/>
      <c r="E41" s="19"/>
      <c r="F41" s="20"/>
      <c r="G41" s="22" t="s">
        <v>167</v>
      </c>
      <c r="H41" s="19">
        <v>2</v>
      </c>
      <c r="I41" s="19"/>
      <c r="J41" s="19">
        <v>4</v>
      </c>
      <c r="K41" s="20">
        <f t="shared" si="9"/>
        <v>8</v>
      </c>
      <c r="L41" s="22" t="s">
        <v>163</v>
      </c>
      <c r="M41" s="19">
        <v>4</v>
      </c>
      <c r="N41" s="19"/>
      <c r="O41" s="19">
        <v>2</v>
      </c>
      <c r="P41" s="20">
        <f>M41*O41</f>
        <v>8</v>
      </c>
      <c r="Q41" s="163">
        <f>K41+P41</f>
        <v>16</v>
      </c>
      <c r="R41" s="19">
        <f>SUM(Q38:Q41)+Q44+P43+K43</f>
        <v>117</v>
      </c>
      <c r="S41" s="96"/>
      <c r="T41" s="232" t="s">
        <v>119</v>
      </c>
      <c r="U41" s="233"/>
      <c r="V41" s="80">
        <f>F66+K66+P66</f>
        <v>24</v>
      </c>
      <c r="W41" s="303"/>
      <c r="X41" s="304"/>
      <c r="Y41" s="305"/>
      <c r="Z41" s="227"/>
      <c r="AA41" s="224"/>
      <c r="AB41" s="227"/>
      <c r="AC41" s="261"/>
    </row>
    <row r="42" spans="1:29" ht="12.75" customHeight="1">
      <c r="A42" s="310"/>
      <c r="B42" s="29"/>
      <c r="C42" s="27"/>
      <c r="D42" s="27"/>
      <c r="E42" s="27"/>
      <c r="F42" s="28"/>
      <c r="G42" s="29"/>
      <c r="H42" s="27"/>
      <c r="I42" s="27"/>
      <c r="J42" s="27"/>
      <c r="K42" s="28"/>
      <c r="L42" s="29"/>
      <c r="M42" s="27"/>
      <c r="N42" s="27"/>
      <c r="O42" s="27"/>
      <c r="P42" s="28"/>
      <c r="Q42" s="81"/>
      <c r="R42" s="170"/>
      <c r="S42" s="96"/>
      <c r="T42" s="232" t="s">
        <v>243</v>
      </c>
      <c r="U42" s="233"/>
      <c r="V42" s="80">
        <f>K20</f>
        <v>12</v>
      </c>
      <c r="W42" s="303"/>
      <c r="X42" s="304"/>
      <c r="Y42" s="305"/>
      <c r="Z42" s="227"/>
      <c r="AA42" s="224"/>
      <c r="AB42" s="227"/>
      <c r="AC42" s="261"/>
    </row>
    <row r="43" spans="1:29" ht="12.75" customHeight="1">
      <c r="A43" s="186" t="s">
        <v>14</v>
      </c>
      <c r="B43" s="13" t="s">
        <v>240</v>
      </c>
      <c r="C43" s="88">
        <v>2</v>
      </c>
      <c r="D43" s="88"/>
      <c r="E43" s="88">
        <v>1</v>
      </c>
      <c r="F43" s="89">
        <f>C43*E43</f>
        <v>2</v>
      </c>
      <c r="G43" s="13" t="s">
        <v>240</v>
      </c>
      <c r="H43" s="88">
        <v>2</v>
      </c>
      <c r="I43" s="88"/>
      <c r="J43" s="88">
        <v>4</v>
      </c>
      <c r="K43" s="203">
        <f>H43*J43</f>
        <v>8</v>
      </c>
      <c r="L43" s="13" t="s">
        <v>240</v>
      </c>
      <c r="M43" s="88">
        <v>2</v>
      </c>
      <c r="N43" s="88"/>
      <c r="O43" s="88">
        <v>2</v>
      </c>
      <c r="P43" s="203">
        <f>M43*O43</f>
        <v>4</v>
      </c>
      <c r="Q43" s="171">
        <f>F43+K43+P43</f>
        <v>14</v>
      </c>
      <c r="R43" s="164"/>
      <c r="S43" s="8"/>
      <c r="T43" s="232"/>
      <c r="U43" s="233"/>
      <c r="V43" s="80"/>
      <c r="W43" s="306"/>
      <c r="X43" s="307"/>
      <c r="Y43" s="308"/>
      <c r="Z43" s="228"/>
      <c r="AA43" s="225"/>
      <c r="AB43" s="228"/>
      <c r="AC43" s="262"/>
    </row>
    <row r="44" spans="1:29" ht="12.75" customHeight="1">
      <c r="A44" s="201"/>
      <c r="B44" s="13" t="s">
        <v>239</v>
      </c>
      <c r="C44" s="88">
        <v>2</v>
      </c>
      <c r="D44" s="88" t="s">
        <v>247</v>
      </c>
      <c r="E44" s="88">
        <v>1</v>
      </c>
      <c r="F44" s="89">
        <f>C44*E44</f>
        <v>2</v>
      </c>
      <c r="G44" s="13" t="s">
        <v>239</v>
      </c>
      <c r="H44" s="88">
        <v>2</v>
      </c>
      <c r="I44" s="88" t="s">
        <v>247</v>
      </c>
      <c r="J44" s="88">
        <v>4</v>
      </c>
      <c r="K44" s="12">
        <f>H44*J44</f>
        <v>8</v>
      </c>
      <c r="L44" s="13" t="s">
        <v>239</v>
      </c>
      <c r="M44" s="88">
        <v>2</v>
      </c>
      <c r="N44" s="88" t="s">
        <v>247</v>
      </c>
      <c r="O44" s="88">
        <v>2</v>
      </c>
      <c r="P44" s="12">
        <f>M44*O44</f>
        <v>4</v>
      </c>
      <c r="Q44" s="161">
        <f>F44+K44+P44</f>
        <v>14</v>
      </c>
      <c r="R44" s="164"/>
      <c r="S44" s="8"/>
      <c r="T44" s="220" t="s">
        <v>67</v>
      </c>
      <c r="U44" s="221"/>
      <c r="V44" s="173">
        <f>Q12</f>
        <v>36</v>
      </c>
      <c r="W44" s="290">
        <f>SUM(V44:V48)</f>
        <v>74</v>
      </c>
      <c r="X44" s="291"/>
      <c r="Y44" s="292"/>
      <c r="Z44" s="226">
        <v>3</v>
      </c>
      <c r="AA44" s="223">
        <v>3</v>
      </c>
      <c r="AB44" s="226">
        <f>AA44-Z44</f>
        <v>0</v>
      </c>
      <c r="AC44" s="260" t="s">
        <v>132</v>
      </c>
    </row>
    <row r="45" spans="1:29" ht="12.75" customHeight="1">
      <c r="A45" s="52"/>
      <c r="B45" s="21" t="s">
        <v>13</v>
      </c>
      <c r="C45" s="11">
        <v>1</v>
      </c>
      <c r="D45" s="11"/>
      <c r="E45" s="11">
        <v>1</v>
      </c>
      <c r="F45" s="12">
        <f>C45*E45</f>
        <v>1</v>
      </c>
      <c r="G45" s="21" t="s">
        <v>13</v>
      </c>
      <c r="H45" s="11">
        <v>1</v>
      </c>
      <c r="I45" s="11"/>
      <c r="J45" s="11">
        <v>4</v>
      </c>
      <c r="K45" s="12">
        <f>H45*J45</f>
        <v>4</v>
      </c>
      <c r="L45" s="21" t="s">
        <v>13</v>
      </c>
      <c r="M45" s="11">
        <v>1</v>
      </c>
      <c r="N45" s="11"/>
      <c r="O45" s="11">
        <v>2</v>
      </c>
      <c r="P45" s="12">
        <f>M45*O45</f>
        <v>2</v>
      </c>
      <c r="Q45" s="164">
        <f>F45+K45+P45</f>
        <v>7</v>
      </c>
      <c r="R45" s="164">
        <f>Q45</f>
        <v>7</v>
      </c>
      <c r="S45" s="8"/>
      <c r="T45" s="220" t="s">
        <v>68</v>
      </c>
      <c r="U45" s="221"/>
      <c r="V45" s="173">
        <f>Q32</f>
        <v>14</v>
      </c>
      <c r="W45" s="293"/>
      <c r="X45" s="294"/>
      <c r="Y45" s="295"/>
      <c r="Z45" s="227"/>
      <c r="AA45" s="224"/>
      <c r="AB45" s="227"/>
      <c r="AC45" s="261"/>
    </row>
    <row r="46" spans="1:29" ht="12.75" customHeight="1" thickBot="1">
      <c r="A46" s="6" t="s">
        <v>24</v>
      </c>
      <c r="B46" s="23"/>
      <c r="C46" s="17">
        <f>SUM(C27:C45)</f>
        <v>45</v>
      </c>
      <c r="D46" s="17"/>
      <c r="E46" s="17"/>
      <c r="F46" s="18">
        <f>SUM(F27:F45)</f>
        <v>45</v>
      </c>
      <c r="G46" s="23"/>
      <c r="H46" s="17">
        <f>SUM(H27:H45)</f>
        <v>45</v>
      </c>
      <c r="I46" s="17"/>
      <c r="J46" s="17"/>
      <c r="K46" s="18">
        <f>SUM(K27:K45)</f>
        <v>180</v>
      </c>
      <c r="L46" s="23"/>
      <c r="M46" s="17">
        <f>SUM(M27:M45)</f>
        <v>45</v>
      </c>
      <c r="N46" s="17"/>
      <c r="O46" s="17"/>
      <c r="P46" s="17">
        <f>SUM(P27:P45)</f>
        <v>90</v>
      </c>
      <c r="Q46" s="162">
        <f>SUM(Q27:Q45)</f>
        <v>315</v>
      </c>
      <c r="R46" s="162">
        <f>SUM(R27:R45)</f>
        <v>315</v>
      </c>
      <c r="S46" s="8"/>
      <c r="T46" s="220" t="s">
        <v>69</v>
      </c>
      <c r="U46" s="221"/>
      <c r="V46" s="173">
        <f>Q52</f>
        <v>12</v>
      </c>
      <c r="W46" s="293"/>
      <c r="X46" s="294"/>
      <c r="Y46" s="295"/>
      <c r="Z46" s="227"/>
      <c r="AA46" s="224"/>
      <c r="AB46" s="227"/>
      <c r="AC46" s="261"/>
    </row>
    <row r="47" spans="1:29" ht="12.75" customHeight="1" thickBot="1">
      <c r="Q47" s="166"/>
      <c r="R47" s="167"/>
      <c r="S47" s="8"/>
      <c r="T47" s="220" t="s">
        <v>93</v>
      </c>
      <c r="U47" s="221"/>
      <c r="V47" s="173">
        <f>Q80</f>
        <v>8</v>
      </c>
      <c r="W47" s="293"/>
      <c r="X47" s="294"/>
      <c r="Y47" s="295"/>
      <c r="Z47" s="227"/>
      <c r="AA47" s="224"/>
      <c r="AB47" s="227"/>
      <c r="AC47" s="261"/>
    </row>
    <row r="48" spans="1:29" ht="12.75" customHeight="1" thickBot="1">
      <c r="A48" s="5" t="s">
        <v>0</v>
      </c>
      <c r="B48" s="248" t="s">
        <v>266</v>
      </c>
      <c r="C48" s="248"/>
      <c r="D48" s="248"/>
      <c r="E48" s="248"/>
      <c r="F48" s="248"/>
      <c r="G48" s="248" t="s">
        <v>267</v>
      </c>
      <c r="H48" s="248"/>
      <c r="I48" s="248"/>
      <c r="J48" s="248"/>
      <c r="K48" s="248"/>
      <c r="L48" s="248" t="s">
        <v>268</v>
      </c>
      <c r="M48" s="248"/>
      <c r="N48" s="248"/>
      <c r="O48" s="248"/>
      <c r="P48" s="248"/>
      <c r="Q48" s="286" t="s">
        <v>26</v>
      </c>
      <c r="R48" s="286" t="s">
        <v>17</v>
      </c>
      <c r="S48" s="8"/>
      <c r="T48" s="220" t="s">
        <v>182</v>
      </c>
      <c r="U48" s="221"/>
      <c r="V48" s="173">
        <f>P57</f>
        <v>4</v>
      </c>
      <c r="W48" s="293"/>
      <c r="X48" s="294"/>
      <c r="Y48" s="295"/>
      <c r="Z48" s="227"/>
      <c r="AA48" s="224"/>
      <c r="AB48" s="227"/>
      <c r="AC48" s="262"/>
    </row>
    <row r="49" spans="1:29" ht="12.75" customHeight="1" thickBot="1">
      <c r="A49" s="147" t="s">
        <v>1</v>
      </c>
      <c r="B49" s="7" t="s">
        <v>160</v>
      </c>
      <c r="C49" s="2" t="s">
        <v>4</v>
      </c>
      <c r="D49" s="2" t="s">
        <v>5</v>
      </c>
      <c r="E49" s="2" t="s">
        <v>6</v>
      </c>
      <c r="F49" s="3" t="s">
        <v>26</v>
      </c>
      <c r="G49" s="7" t="s">
        <v>3</v>
      </c>
      <c r="H49" s="2" t="s">
        <v>4</v>
      </c>
      <c r="I49" s="2" t="s">
        <v>5</v>
      </c>
      <c r="J49" s="2" t="s">
        <v>6</v>
      </c>
      <c r="K49" s="3" t="s">
        <v>26</v>
      </c>
      <c r="L49" s="7" t="s">
        <v>147</v>
      </c>
      <c r="M49" s="2" t="s">
        <v>4</v>
      </c>
      <c r="N49" s="2" t="s">
        <v>5</v>
      </c>
      <c r="O49" s="2" t="s">
        <v>6</v>
      </c>
      <c r="P49" s="2" t="s">
        <v>26</v>
      </c>
      <c r="Q49" s="287"/>
      <c r="R49" s="287"/>
      <c r="S49" s="8"/>
      <c r="T49" s="275" t="s">
        <v>159</v>
      </c>
      <c r="U49" s="276"/>
      <c r="V49" s="78">
        <f>Q13</f>
        <v>18</v>
      </c>
      <c r="W49" s="270">
        <f>V49</f>
        <v>18</v>
      </c>
      <c r="X49" s="270"/>
      <c r="Y49" s="234"/>
      <c r="Z49" s="99">
        <v>1</v>
      </c>
      <c r="AA49" s="151">
        <v>1</v>
      </c>
      <c r="AB49" s="150">
        <f>AA49-Z49</f>
        <v>0</v>
      </c>
      <c r="AC49" s="198" t="str">
        <f>IF(AB49&lt;0,"EKSİK",IF(AB49&gt;0,"FAZLA","-"))</f>
        <v>-</v>
      </c>
    </row>
    <row r="50" spans="1:29" ht="12.75" customHeight="1">
      <c r="A50" s="265" t="s">
        <v>15</v>
      </c>
      <c r="B50" s="21" t="s">
        <v>99</v>
      </c>
      <c r="C50" s="11">
        <v>4</v>
      </c>
      <c r="D50" s="11"/>
      <c r="E50" s="11">
        <v>1</v>
      </c>
      <c r="F50" s="12">
        <f t="shared" ref="F50:F58" si="12">C50*E50</f>
        <v>4</v>
      </c>
      <c r="G50" s="21" t="s">
        <v>99</v>
      </c>
      <c r="H50" s="11">
        <v>4</v>
      </c>
      <c r="I50" s="11"/>
      <c r="J50" s="11">
        <v>3</v>
      </c>
      <c r="K50" s="12">
        <f t="shared" ref="K50:K62" si="13">H50*J50</f>
        <v>12</v>
      </c>
      <c r="L50" s="21" t="s">
        <v>99</v>
      </c>
      <c r="M50" s="11">
        <v>4</v>
      </c>
      <c r="N50" s="11"/>
      <c r="O50" s="11">
        <v>2</v>
      </c>
      <c r="P50" s="12">
        <f t="shared" ref="P50:P70" si="14">M50*O50</f>
        <v>8</v>
      </c>
      <c r="Q50" s="164">
        <f t="shared" ref="Q50:Q62" si="15">F50+K50+P50</f>
        <v>24</v>
      </c>
      <c r="R50" s="164"/>
      <c r="S50" s="8"/>
      <c r="T50" s="275" t="s">
        <v>158</v>
      </c>
      <c r="U50" s="276"/>
      <c r="V50" s="78">
        <f>Q13</f>
        <v>18</v>
      </c>
      <c r="W50" s="270">
        <f>V50</f>
        <v>18</v>
      </c>
      <c r="X50" s="270"/>
      <c r="Y50" s="234"/>
      <c r="Z50" s="99">
        <v>1</v>
      </c>
      <c r="AA50" s="151">
        <v>1</v>
      </c>
      <c r="AB50" s="150">
        <f>AA50-Z50</f>
        <v>0</v>
      </c>
      <c r="AC50" s="198" t="str">
        <f>IF(AB50&lt;0,"EKSİK",IF(AB50&gt;0,"FAZLA","-"))</f>
        <v>-</v>
      </c>
    </row>
    <row r="51" spans="1:29" ht="12.75" customHeight="1">
      <c r="A51" s="265"/>
      <c r="B51" s="10" t="s">
        <v>8</v>
      </c>
      <c r="C51" s="11">
        <v>2</v>
      </c>
      <c r="D51" s="11"/>
      <c r="E51" s="11">
        <v>1</v>
      </c>
      <c r="F51" s="12">
        <f t="shared" si="12"/>
        <v>2</v>
      </c>
      <c r="G51" s="10" t="s">
        <v>8</v>
      </c>
      <c r="H51" s="11">
        <v>2</v>
      </c>
      <c r="I51" s="11"/>
      <c r="J51" s="11">
        <v>3</v>
      </c>
      <c r="K51" s="12">
        <f t="shared" si="13"/>
        <v>6</v>
      </c>
      <c r="L51" s="10" t="s">
        <v>8</v>
      </c>
      <c r="M51" s="11">
        <v>2</v>
      </c>
      <c r="N51" s="11"/>
      <c r="O51" s="11">
        <v>2</v>
      </c>
      <c r="P51" s="12">
        <f t="shared" si="14"/>
        <v>4</v>
      </c>
      <c r="Q51" s="164">
        <f t="shared" si="15"/>
        <v>12</v>
      </c>
      <c r="R51" s="164"/>
      <c r="S51" s="8"/>
      <c r="T51" s="220" t="s">
        <v>183</v>
      </c>
      <c r="U51" s="221"/>
      <c r="V51" s="173">
        <f>Q28</f>
        <v>14</v>
      </c>
      <c r="W51" s="290">
        <f>V51+V52+V53+V54</f>
        <v>47</v>
      </c>
      <c r="X51" s="291"/>
      <c r="Y51" s="292"/>
      <c r="Z51" s="226">
        <f>IF(W51&gt;119,6,IF(W51&gt;98,5,IF(W51&gt;77,4,IF(W51&gt;56,3,IF(W51&gt;30,2,IF(W51&gt;5,1,))))))</f>
        <v>2</v>
      </c>
      <c r="AA51" s="223">
        <v>2</v>
      </c>
      <c r="AB51" s="226">
        <f>AA51-Z51</f>
        <v>0</v>
      </c>
      <c r="AC51" s="260" t="s">
        <v>132</v>
      </c>
    </row>
    <row r="52" spans="1:29" ht="12.75" customHeight="1">
      <c r="A52" s="265"/>
      <c r="B52" s="10" t="s">
        <v>11</v>
      </c>
      <c r="C52" s="11">
        <v>2</v>
      </c>
      <c r="D52" s="11"/>
      <c r="E52" s="11">
        <v>1</v>
      </c>
      <c r="F52" s="12">
        <f t="shared" si="12"/>
        <v>2</v>
      </c>
      <c r="G52" s="10" t="s">
        <v>11</v>
      </c>
      <c r="H52" s="11">
        <v>2</v>
      </c>
      <c r="I52" s="11"/>
      <c r="J52" s="11">
        <v>3</v>
      </c>
      <c r="K52" s="12">
        <f t="shared" si="13"/>
        <v>6</v>
      </c>
      <c r="L52" s="10" t="s">
        <v>11</v>
      </c>
      <c r="M52" s="11">
        <v>2</v>
      </c>
      <c r="N52" s="11"/>
      <c r="O52" s="11">
        <v>2</v>
      </c>
      <c r="P52" s="12">
        <f t="shared" si="14"/>
        <v>4</v>
      </c>
      <c r="Q52" s="164">
        <f t="shared" si="15"/>
        <v>12</v>
      </c>
      <c r="R52" s="164"/>
      <c r="S52" s="8"/>
      <c r="T52" s="220" t="s">
        <v>184</v>
      </c>
      <c r="U52" s="221"/>
      <c r="V52" s="173">
        <f>Q54</f>
        <v>12</v>
      </c>
      <c r="W52" s="293"/>
      <c r="X52" s="294"/>
      <c r="Y52" s="295"/>
      <c r="Z52" s="227"/>
      <c r="AA52" s="224"/>
      <c r="AB52" s="227"/>
      <c r="AC52" s="261"/>
    </row>
    <row r="53" spans="1:29" ht="12.75" customHeight="1">
      <c r="A53" s="265"/>
      <c r="B53" s="10" t="s">
        <v>9</v>
      </c>
      <c r="C53" s="11">
        <v>2</v>
      </c>
      <c r="D53" s="11"/>
      <c r="E53" s="11">
        <v>1</v>
      </c>
      <c r="F53" s="12">
        <f t="shared" si="12"/>
        <v>2</v>
      </c>
      <c r="G53" s="10" t="s">
        <v>9</v>
      </c>
      <c r="H53" s="11">
        <v>2</v>
      </c>
      <c r="I53" s="11"/>
      <c r="J53" s="11">
        <v>3</v>
      </c>
      <c r="K53" s="12">
        <f t="shared" si="13"/>
        <v>6</v>
      </c>
      <c r="L53" s="10" t="s">
        <v>9</v>
      </c>
      <c r="M53" s="11">
        <v>2</v>
      </c>
      <c r="N53" s="11"/>
      <c r="O53" s="11">
        <v>2</v>
      </c>
      <c r="P53" s="12">
        <f t="shared" si="14"/>
        <v>4</v>
      </c>
      <c r="Q53" s="164">
        <f t="shared" si="15"/>
        <v>12</v>
      </c>
      <c r="R53" s="164"/>
      <c r="S53" s="8"/>
      <c r="T53" s="220" t="s">
        <v>186</v>
      </c>
      <c r="U53" s="221"/>
      <c r="V53" s="173">
        <f>F68+K68+P68</f>
        <v>12</v>
      </c>
      <c r="W53" s="293"/>
      <c r="X53" s="294"/>
      <c r="Y53" s="295"/>
      <c r="Z53" s="227"/>
      <c r="AA53" s="224"/>
      <c r="AB53" s="227"/>
      <c r="AC53" s="261"/>
    </row>
    <row r="54" spans="1:29" ht="12.75" customHeight="1">
      <c r="A54" s="265"/>
      <c r="B54" s="10" t="s">
        <v>22</v>
      </c>
      <c r="C54" s="11">
        <v>2</v>
      </c>
      <c r="D54" s="11"/>
      <c r="E54" s="11">
        <v>1</v>
      </c>
      <c r="F54" s="12">
        <f t="shared" si="12"/>
        <v>2</v>
      </c>
      <c r="G54" s="10" t="s">
        <v>22</v>
      </c>
      <c r="H54" s="11">
        <v>2</v>
      </c>
      <c r="I54" s="11"/>
      <c r="J54" s="11">
        <v>3</v>
      </c>
      <c r="K54" s="12">
        <f t="shared" si="13"/>
        <v>6</v>
      </c>
      <c r="L54" s="10" t="s">
        <v>22</v>
      </c>
      <c r="M54" s="11">
        <v>2</v>
      </c>
      <c r="N54" s="11"/>
      <c r="O54" s="11">
        <v>2</v>
      </c>
      <c r="P54" s="12">
        <f t="shared" si="14"/>
        <v>4</v>
      </c>
      <c r="Q54" s="164">
        <f t="shared" si="15"/>
        <v>12</v>
      </c>
      <c r="R54" s="164"/>
      <c r="S54" s="8"/>
      <c r="T54" s="220" t="s">
        <v>231</v>
      </c>
      <c r="U54" s="221"/>
      <c r="V54" s="173">
        <f>Q21</f>
        <v>9</v>
      </c>
      <c r="W54" s="296"/>
      <c r="X54" s="297"/>
      <c r="Y54" s="298"/>
      <c r="Z54" s="228"/>
      <c r="AA54" s="225"/>
      <c r="AB54" s="228"/>
      <c r="AC54" s="262"/>
    </row>
    <row r="55" spans="1:29" ht="12.75" customHeight="1">
      <c r="A55" s="265"/>
      <c r="B55" s="13" t="s">
        <v>134</v>
      </c>
      <c r="C55" s="11">
        <v>2</v>
      </c>
      <c r="D55" s="11"/>
      <c r="E55" s="11">
        <v>1</v>
      </c>
      <c r="F55" s="12">
        <f>C55*E55</f>
        <v>2</v>
      </c>
      <c r="G55" s="13" t="s">
        <v>134</v>
      </c>
      <c r="H55" s="11">
        <v>2</v>
      </c>
      <c r="I55" s="11"/>
      <c r="J55" s="11">
        <v>3</v>
      </c>
      <c r="K55" s="12">
        <f>H55*J55</f>
        <v>6</v>
      </c>
      <c r="L55" s="13" t="s">
        <v>134</v>
      </c>
      <c r="M55" s="11">
        <v>2</v>
      </c>
      <c r="N55" s="11"/>
      <c r="O55" s="11">
        <v>2</v>
      </c>
      <c r="P55" s="12">
        <f>M55*O55</f>
        <v>4</v>
      </c>
      <c r="Q55" s="164">
        <f t="shared" si="15"/>
        <v>12</v>
      </c>
      <c r="R55" s="164"/>
      <c r="S55" s="8"/>
      <c r="T55" s="271" t="s">
        <v>70</v>
      </c>
      <c r="U55" s="272"/>
      <c r="V55" s="79">
        <f>SUM(V3:V54)</f>
        <v>747</v>
      </c>
      <c r="W55" s="273">
        <f>SUM(W3:Y54)</f>
        <v>747</v>
      </c>
      <c r="X55" s="273"/>
      <c r="Y55" s="274"/>
      <c r="Z55" s="99">
        <f>AA55</f>
        <v>37</v>
      </c>
      <c r="AA55" s="99">
        <f>SUM(AA3:AA54)</f>
        <v>37</v>
      </c>
      <c r="AB55" s="150"/>
      <c r="AC55" s="198"/>
    </row>
    <row r="56" spans="1:29" ht="12.75" customHeight="1">
      <c r="A56" s="266"/>
      <c r="B56" s="13" t="s">
        <v>169</v>
      </c>
      <c r="C56" s="14">
        <v>1</v>
      </c>
      <c r="E56" s="14">
        <v>1</v>
      </c>
      <c r="F56" s="15">
        <f>C56*E56</f>
        <v>1</v>
      </c>
      <c r="G56" s="13" t="s">
        <v>169</v>
      </c>
      <c r="H56" s="14">
        <v>1</v>
      </c>
      <c r="J56" s="14">
        <v>3</v>
      </c>
      <c r="K56" s="15">
        <f>H56*J56</f>
        <v>3</v>
      </c>
      <c r="L56" s="13" t="s">
        <v>169</v>
      </c>
      <c r="M56" s="14">
        <v>1</v>
      </c>
      <c r="O56" s="14">
        <v>2</v>
      </c>
      <c r="P56" s="15">
        <f>M56*O56</f>
        <v>2</v>
      </c>
      <c r="Q56" s="166">
        <f t="shared" si="15"/>
        <v>6</v>
      </c>
      <c r="R56" s="164">
        <f>SUM(Q50:Q56)</f>
        <v>90</v>
      </c>
      <c r="S56" s="8"/>
      <c r="T56" s="277" t="s">
        <v>13</v>
      </c>
      <c r="U56" s="278"/>
      <c r="V56" s="83">
        <f>Q45+Q70+Q87</f>
        <v>17</v>
      </c>
      <c r="W56" s="279">
        <f>V56</f>
        <v>17</v>
      </c>
      <c r="X56" s="280"/>
      <c r="Y56" s="281"/>
      <c r="Z56" s="100"/>
      <c r="AA56" s="151"/>
      <c r="AB56" s="101"/>
      <c r="AC56" s="199"/>
    </row>
    <row r="57" spans="1:29" ht="12.75" customHeight="1">
      <c r="A57" s="282" t="s">
        <v>16</v>
      </c>
      <c r="B57" s="26" t="s">
        <v>177</v>
      </c>
      <c r="C57" s="24">
        <v>4</v>
      </c>
      <c r="D57" s="24" t="s">
        <v>97</v>
      </c>
      <c r="E57" s="24">
        <v>1</v>
      </c>
      <c r="F57" s="25">
        <f t="shared" si="12"/>
        <v>4</v>
      </c>
      <c r="G57" s="26" t="s">
        <v>170</v>
      </c>
      <c r="H57" s="24">
        <v>7</v>
      </c>
      <c r="I57" s="24" t="s">
        <v>98</v>
      </c>
      <c r="J57" s="24">
        <v>3</v>
      </c>
      <c r="K57" s="25">
        <f t="shared" si="13"/>
        <v>21</v>
      </c>
      <c r="L57" s="26" t="s">
        <v>129</v>
      </c>
      <c r="M57" s="24">
        <v>2</v>
      </c>
      <c r="N57" s="24"/>
      <c r="O57" s="24">
        <v>2</v>
      </c>
      <c r="P57" s="132">
        <f t="shared" si="14"/>
        <v>4</v>
      </c>
      <c r="Q57" s="160">
        <f t="shared" si="15"/>
        <v>29</v>
      </c>
      <c r="R57" s="160"/>
      <c r="S57" s="8"/>
      <c r="T57" s="288"/>
      <c r="U57" s="288"/>
      <c r="W57" s="229">
        <f>SUM(V58:V61)</f>
        <v>70</v>
      </c>
      <c r="X57" s="229">
        <f>'NORM-KOORD.2025-2026'!M3</f>
        <v>64</v>
      </c>
      <c r="Y57" s="229">
        <f>W57+X57</f>
        <v>134</v>
      </c>
      <c r="Z57" s="226">
        <f>'NORM-KOORD.2025-2026'!M11</f>
        <v>5</v>
      </c>
      <c r="AA57" s="223">
        <v>5</v>
      </c>
      <c r="AB57" s="223">
        <f>AA57-Z57</f>
        <v>0</v>
      </c>
      <c r="AC57" s="260" t="str">
        <f>IF(AB57&lt;0,"EKSİK",IF(AB57&gt;0,"FAZLA","-"))</f>
        <v>-</v>
      </c>
    </row>
    <row r="58" spans="1:29" ht="12.75" customHeight="1">
      <c r="A58" s="283"/>
      <c r="B58" s="22" t="s">
        <v>178</v>
      </c>
      <c r="C58" s="19">
        <v>8</v>
      </c>
      <c r="D58" s="19" t="s">
        <v>97</v>
      </c>
      <c r="E58" s="19">
        <v>1</v>
      </c>
      <c r="F58" s="20">
        <f t="shared" si="12"/>
        <v>8</v>
      </c>
      <c r="G58" s="22" t="s">
        <v>140</v>
      </c>
      <c r="H58" s="19">
        <v>2</v>
      </c>
      <c r="I58" s="19"/>
      <c r="J58" s="19">
        <v>3</v>
      </c>
      <c r="K58" s="20">
        <f t="shared" si="13"/>
        <v>6</v>
      </c>
      <c r="L58" s="22" t="s">
        <v>128</v>
      </c>
      <c r="M58" s="19">
        <v>4</v>
      </c>
      <c r="N58" s="19" t="s">
        <v>23</v>
      </c>
      <c r="O58" s="19">
        <v>2</v>
      </c>
      <c r="P58" s="19">
        <f t="shared" si="14"/>
        <v>8</v>
      </c>
      <c r="Q58" s="163">
        <f t="shared" si="15"/>
        <v>22</v>
      </c>
      <c r="R58" s="163"/>
      <c r="S58" s="8"/>
      <c r="T58" s="232" t="s">
        <v>245</v>
      </c>
      <c r="U58" s="233"/>
      <c r="V58" s="67">
        <f>F15+F18+F14+F16+P20</f>
        <v>15</v>
      </c>
      <c r="W58" s="230"/>
      <c r="X58" s="230"/>
      <c r="Y58" s="230"/>
      <c r="Z58" s="227"/>
      <c r="AA58" s="224"/>
      <c r="AB58" s="224"/>
      <c r="AC58" s="261"/>
    </row>
    <row r="59" spans="1:29" ht="12.75" customHeight="1">
      <c r="A59" s="283"/>
      <c r="B59" s="112"/>
      <c r="C59" s="19"/>
      <c r="D59" s="19"/>
      <c r="E59" s="19"/>
      <c r="F59" s="19"/>
      <c r="G59" s="22" t="s">
        <v>171</v>
      </c>
      <c r="H59" s="19">
        <v>2</v>
      </c>
      <c r="I59" s="19"/>
      <c r="J59" s="19">
        <v>3</v>
      </c>
      <c r="K59" s="20">
        <f t="shared" si="13"/>
        <v>6</v>
      </c>
      <c r="L59" s="22" t="s">
        <v>175</v>
      </c>
      <c r="M59" s="19">
        <v>4</v>
      </c>
      <c r="N59" s="19" t="s">
        <v>23</v>
      </c>
      <c r="O59" s="19">
        <v>2</v>
      </c>
      <c r="P59" s="19">
        <f t="shared" si="14"/>
        <v>8</v>
      </c>
      <c r="Q59" s="163">
        <f>F59+K59+P59</f>
        <v>14</v>
      </c>
      <c r="R59" s="163"/>
      <c r="S59" s="8"/>
      <c r="T59" s="232" t="s">
        <v>248</v>
      </c>
      <c r="U59" s="233"/>
      <c r="V59" s="78">
        <f>F38+F39+Q44+P43</f>
        <v>31</v>
      </c>
      <c r="W59" s="230"/>
      <c r="X59" s="230"/>
      <c r="Y59" s="230"/>
      <c r="Z59" s="227"/>
      <c r="AA59" s="224"/>
      <c r="AB59" s="224"/>
      <c r="AC59" s="261"/>
    </row>
    <row r="60" spans="1:29" ht="12.75" customHeight="1">
      <c r="A60" s="283"/>
      <c r="B60" s="22" t="s">
        <v>179</v>
      </c>
      <c r="C60" s="19">
        <v>5</v>
      </c>
      <c r="D60" s="19" t="s">
        <v>97</v>
      </c>
      <c r="E60" s="19">
        <v>1</v>
      </c>
      <c r="F60" s="20">
        <f>C60*E60</f>
        <v>5</v>
      </c>
      <c r="G60" s="113" t="s">
        <v>172</v>
      </c>
      <c r="H60" s="19">
        <v>2</v>
      </c>
      <c r="I60" s="19"/>
      <c r="J60" s="19">
        <v>3</v>
      </c>
      <c r="K60" s="20">
        <f t="shared" si="13"/>
        <v>6</v>
      </c>
      <c r="L60" s="22" t="s">
        <v>174</v>
      </c>
      <c r="M60" s="19">
        <v>3</v>
      </c>
      <c r="N60" s="19" t="s">
        <v>23</v>
      </c>
      <c r="O60" s="19">
        <v>2</v>
      </c>
      <c r="P60" s="19">
        <f>M60*O60</f>
        <v>6</v>
      </c>
      <c r="Q60" s="163">
        <f>F60+K60+P60</f>
        <v>17</v>
      </c>
      <c r="R60" s="163"/>
      <c r="S60" s="8"/>
      <c r="T60" s="232" t="s">
        <v>71</v>
      </c>
      <c r="U60" s="233"/>
      <c r="V60" s="78">
        <f>F57+F58+F60</f>
        <v>17</v>
      </c>
      <c r="W60" s="230"/>
      <c r="X60" s="230"/>
      <c r="Y60" s="230"/>
      <c r="Z60" s="227"/>
      <c r="AA60" s="224"/>
      <c r="AB60" s="224"/>
      <c r="AC60" s="261"/>
    </row>
    <row r="61" spans="1:29" ht="12.75" customHeight="1">
      <c r="A61" s="283"/>
      <c r="B61" s="22"/>
      <c r="C61" s="19"/>
      <c r="D61" s="19"/>
      <c r="E61" s="19"/>
      <c r="F61" s="20"/>
      <c r="G61" s="22" t="s">
        <v>199</v>
      </c>
      <c r="H61" s="19">
        <v>2</v>
      </c>
      <c r="I61" s="19"/>
      <c r="J61" s="19">
        <v>3</v>
      </c>
      <c r="K61" s="20">
        <f t="shared" si="13"/>
        <v>6</v>
      </c>
      <c r="L61" s="22" t="s">
        <v>130</v>
      </c>
      <c r="M61" s="19">
        <v>2</v>
      </c>
      <c r="N61" s="19" t="s">
        <v>23</v>
      </c>
      <c r="O61" s="19">
        <v>2</v>
      </c>
      <c r="P61" s="19">
        <f>M61*O61</f>
        <v>4</v>
      </c>
      <c r="Q61" s="163">
        <f t="shared" si="15"/>
        <v>10</v>
      </c>
      <c r="R61" s="163"/>
      <c r="S61" s="8"/>
      <c r="T61" s="232" t="s">
        <v>72</v>
      </c>
      <c r="U61" s="233"/>
      <c r="V61" s="78">
        <f>F84+F85+F86</f>
        <v>7</v>
      </c>
      <c r="W61" s="231"/>
      <c r="X61" s="231"/>
      <c r="Y61" s="231"/>
      <c r="Z61" s="228"/>
      <c r="AA61" s="225"/>
      <c r="AB61" s="225"/>
      <c r="AC61" s="262"/>
    </row>
    <row r="62" spans="1:29" ht="12.75" customHeight="1">
      <c r="A62" s="283"/>
      <c r="B62" s="22"/>
      <c r="C62" s="19"/>
      <c r="D62" s="19"/>
      <c r="E62" s="19"/>
      <c r="F62" s="19"/>
      <c r="G62" s="22" t="s">
        <v>173</v>
      </c>
      <c r="H62" s="19">
        <v>2</v>
      </c>
      <c r="I62" s="19"/>
      <c r="J62" s="19">
        <v>3</v>
      </c>
      <c r="K62" s="20">
        <f t="shared" si="13"/>
        <v>6</v>
      </c>
      <c r="L62" s="22" t="s">
        <v>176</v>
      </c>
      <c r="M62" s="19">
        <v>2</v>
      </c>
      <c r="N62" s="19" t="s">
        <v>23</v>
      </c>
      <c r="O62" s="19">
        <v>2</v>
      </c>
      <c r="P62" s="19">
        <f>M62*O62</f>
        <v>4</v>
      </c>
      <c r="Q62" s="163">
        <f t="shared" si="15"/>
        <v>10</v>
      </c>
      <c r="R62" s="163"/>
      <c r="S62" s="8"/>
      <c r="T62" s="220" t="s">
        <v>218</v>
      </c>
      <c r="U62" s="221"/>
      <c r="V62" s="173">
        <f>K15+K18+K14+K16+'NORM-KOORD.2025-2026'!S4</f>
        <v>66</v>
      </c>
      <c r="W62" s="246">
        <f>SUM(V62:V65)</f>
        <v>198</v>
      </c>
      <c r="X62" s="255">
        <f>'NORM-KOORD.2025-2026'!M4</f>
        <v>174</v>
      </c>
      <c r="Y62" s="245">
        <f>W62+X62</f>
        <v>372</v>
      </c>
      <c r="Z62" s="226">
        <f>'NORM-KOORD.2025-2026'!M12</f>
        <v>12</v>
      </c>
      <c r="AA62" s="223">
        <v>13</v>
      </c>
      <c r="AB62" s="258">
        <f>AA62-Z62</f>
        <v>1</v>
      </c>
      <c r="AC62" s="259" t="str">
        <f>IF(AB62&lt;0,"EKSİK",IF(AB62&gt;0,"FAZLA","-"))</f>
        <v>FAZLA</v>
      </c>
    </row>
    <row r="63" spans="1:29" ht="12.75" customHeight="1">
      <c r="A63" s="283"/>
      <c r="B63" s="22"/>
      <c r="C63" s="19"/>
      <c r="D63" s="19"/>
      <c r="E63" s="19"/>
      <c r="F63" s="20"/>
      <c r="G63" s="22"/>
      <c r="H63" s="19"/>
      <c r="I63" s="19"/>
      <c r="J63" s="19"/>
      <c r="K63" s="20"/>
      <c r="L63" s="22"/>
      <c r="M63" s="19"/>
      <c r="N63" s="19"/>
      <c r="O63" s="19"/>
      <c r="P63" s="19"/>
      <c r="Q63" s="163"/>
      <c r="R63" s="163"/>
      <c r="S63" s="8"/>
      <c r="T63" s="220" t="s">
        <v>188</v>
      </c>
      <c r="U63" s="221"/>
      <c r="V63" s="173">
        <f>K38+K39+K40+K41+'NORM-KOORD.2025-2026'!S8</f>
        <v>52</v>
      </c>
      <c r="W63" s="246"/>
      <c r="X63" s="256"/>
      <c r="Y63" s="246"/>
      <c r="Z63" s="224"/>
      <c r="AA63" s="224"/>
      <c r="AB63" s="258"/>
      <c r="AC63" s="259"/>
    </row>
    <row r="64" spans="1:29" ht="12.75" customHeight="1">
      <c r="A64" s="284"/>
      <c r="B64" s="29"/>
      <c r="C64" s="27"/>
      <c r="D64" s="27"/>
      <c r="E64" s="27"/>
      <c r="F64" s="28"/>
      <c r="G64" s="22"/>
      <c r="H64" s="19"/>
      <c r="I64" s="19"/>
      <c r="J64" s="19"/>
      <c r="K64" s="20"/>
      <c r="L64" s="29"/>
      <c r="M64" s="50"/>
      <c r="N64" s="50"/>
      <c r="O64" s="50"/>
      <c r="P64" s="50"/>
      <c r="Q64" s="81"/>
      <c r="R64" s="146">
        <f>SUM(Q57:Q62)-P57</f>
        <v>98</v>
      </c>
      <c r="S64" s="8"/>
      <c r="T64" s="220" t="s">
        <v>190</v>
      </c>
      <c r="U64" s="221"/>
      <c r="V64" s="173">
        <f>K57+K58+K59+K60+K61+K62+'NORM-KOORD.2025-2026'!S12</f>
        <v>58</v>
      </c>
      <c r="W64" s="246"/>
      <c r="X64" s="256"/>
      <c r="Y64" s="246"/>
      <c r="Z64" s="224"/>
      <c r="AA64" s="224"/>
      <c r="AB64" s="258"/>
      <c r="AC64" s="259"/>
    </row>
    <row r="65" spans="1:29" ht="12.75" customHeight="1">
      <c r="A65" s="186" t="s">
        <v>14</v>
      </c>
      <c r="B65" s="21" t="s">
        <v>227</v>
      </c>
      <c r="C65" s="11">
        <v>6</v>
      </c>
      <c r="D65" s="11"/>
      <c r="E65" s="11">
        <v>1</v>
      </c>
      <c r="F65" s="138">
        <f t="shared" ref="F65:F70" si="16">C65*E65</f>
        <v>6</v>
      </c>
      <c r="G65" s="98" t="s">
        <v>91</v>
      </c>
      <c r="H65" s="139">
        <v>2</v>
      </c>
      <c r="I65" s="139"/>
      <c r="J65" s="139">
        <v>3</v>
      </c>
      <c r="K65" s="138">
        <f t="shared" ref="K65" si="17">H65*J65</f>
        <v>6</v>
      </c>
      <c r="L65" s="193" t="s">
        <v>91</v>
      </c>
      <c r="M65" s="88">
        <v>2</v>
      </c>
      <c r="N65" s="88"/>
      <c r="O65" s="88">
        <v>2</v>
      </c>
      <c r="P65" s="11">
        <f t="shared" ref="P65" si="18">M65*O65</f>
        <v>4</v>
      </c>
      <c r="Q65" s="171">
        <f t="shared" ref="Q65:Q70" si="19">F65+K65+P65</f>
        <v>16</v>
      </c>
      <c r="R65" s="164"/>
      <c r="S65" s="8"/>
      <c r="T65" s="220" t="s">
        <v>191</v>
      </c>
      <c r="U65" s="221"/>
      <c r="V65" s="173">
        <f>K84+K85+K86+'NORM-KOORD.2025-2026'!S16</f>
        <v>22</v>
      </c>
      <c r="W65" s="246"/>
      <c r="X65" s="257"/>
      <c r="Y65" s="246"/>
      <c r="Z65" s="225"/>
      <c r="AA65" s="225"/>
      <c r="AB65" s="258"/>
      <c r="AC65" s="259"/>
    </row>
    <row r="66" spans="1:29" ht="12.75" customHeight="1">
      <c r="A66" s="152"/>
      <c r="B66" s="77" t="s">
        <v>228</v>
      </c>
      <c r="C66" s="11">
        <v>4</v>
      </c>
      <c r="D66" s="11"/>
      <c r="E66" s="11">
        <v>1</v>
      </c>
      <c r="F66" s="12">
        <f t="shared" si="16"/>
        <v>4</v>
      </c>
      <c r="G66" s="77" t="s">
        <v>228</v>
      </c>
      <c r="H66" s="11">
        <v>4</v>
      </c>
      <c r="I66" s="11"/>
      <c r="J66" s="11">
        <v>3</v>
      </c>
      <c r="K66" s="12">
        <f>H66*J66</f>
        <v>12</v>
      </c>
      <c r="L66" s="77" t="s">
        <v>228</v>
      </c>
      <c r="M66" s="11">
        <v>4</v>
      </c>
      <c r="N66" s="11"/>
      <c r="O66" s="11">
        <v>2</v>
      </c>
      <c r="P66" s="11">
        <f>M66*O66</f>
        <v>8</v>
      </c>
      <c r="Q66" s="171">
        <f t="shared" si="19"/>
        <v>24</v>
      </c>
      <c r="R66" s="164"/>
      <c r="S66" s="8"/>
      <c r="T66" s="232" t="s">
        <v>74</v>
      </c>
      <c r="U66" s="233"/>
      <c r="V66" s="78">
        <f>P15+P18+P14+P16</f>
        <v>22</v>
      </c>
      <c r="W66" s="234">
        <f>SUM(V66:V69)</f>
        <v>93</v>
      </c>
      <c r="X66" s="229">
        <f>'NORM-KOORD.2025-2026'!M5</f>
        <v>88</v>
      </c>
      <c r="Y66" s="289">
        <f>X66+W66</f>
        <v>181</v>
      </c>
      <c r="Z66" s="226">
        <f>'NORM-KOORD.2025-2026'!M13</f>
        <v>6</v>
      </c>
      <c r="AA66" s="223">
        <v>6</v>
      </c>
      <c r="AB66" s="258">
        <f>AA66-Z66</f>
        <v>0</v>
      </c>
      <c r="AC66" s="259" t="str">
        <f>IF(AB66&lt;0,"EKSİK",IF(AB66&gt;0,"FAZLA","-"))</f>
        <v>-</v>
      </c>
    </row>
    <row r="67" spans="1:29" ht="12.75" customHeight="1">
      <c r="A67" s="52"/>
      <c r="B67" s="77"/>
      <c r="C67" s="11"/>
      <c r="D67" s="11"/>
      <c r="E67" s="11"/>
      <c r="F67" s="12"/>
      <c r="G67" s="77" t="s">
        <v>229</v>
      </c>
      <c r="H67" s="11">
        <v>2</v>
      </c>
      <c r="I67" s="11"/>
      <c r="J67" s="11">
        <v>3</v>
      </c>
      <c r="K67" s="12">
        <f>H67*J67</f>
        <v>6</v>
      </c>
      <c r="L67" s="77" t="s">
        <v>229</v>
      </c>
      <c r="M67" s="11">
        <v>2</v>
      </c>
      <c r="N67" s="11"/>
      <c r="O67" s="11">
        <v>2</v>
      </c>
      <c r="P67" s="11">
        <f t="shared" si="14"/>
        <v>4</v>
      </c>
      <c r="Q67" s="171">
        <f t="shared" si="19"/>
        <v>10</v>
      </c>
      <c r="R67" s="164"/>
      <c r="S67" s="8"/>
      <c r="T67" s="232" t="s">
        <v>249</v>
      </c>
      <c r="U67" s="233"/>
      <c r="V67" s="78">
        <f>P38+P39+P40+P41+K43</f>
        <v>34</v>
      </c>
      <c r="W67" s="234"/>
      <c r="X67" s="230"/>
      <c r="Y67" s="234"/>
      <c r="Z67" s="227"/>
      <c r="AA67" s="224"/>
      <c r="AB67" s="258"/>
      <c r="AC67" s="259"/>
    </row>
    <row r="68" spans="1:29" ht="12.75" customHeight="1">
      <c r="A68" s="152"/>
      <c r="B68" s="159" t="s">
        <v>185</v>
      </c>
      <c r="C68" s="11">
        <v>2</v>
      </c>
      <c r="D68" s="11"/>
      <c r="E68" s="11">
        <v>1</v>
      </c>
      <c r="F68" s="11">
        <f>C68*E68</f>
        <v>2</v>
      </c>
      <c r="G68" s="194" t="s">
        <v>185</v>
      </c>
      <c r="H68" s="14">
        <v>2</v>
      </c>
      <c r="J68" s="14">
        <v>3</v>
      </c>
      <c r="K68" s="12">
        <f>H68*J68</f>
        <v>6</v>
      </c>
      <c r="L68" s="159" t="s">
        <v>185</v>
      </c>
      <c r="M68" s="11">
        <v>2</v>
      </c>
      <c r="N68" s="11"/>
      <c r="O68" s="11">
        <v>2</v>
      </c>
      <c r="P68" s="11">
        <f>M68*O68</f>
        <v>4</v>
      </c>
      <c r="Q68" s="171">
        <f t="shared" si="19"/>
        <v>12</v>
      </c>
      <c r="R68" s="131"/>
      <c r="S68" s="8"/>
      <c r="T68" s="232" t="s">
        <v>73</v>
      </c>
      <c r="U68" s="233"/>
      <c r="V68" s="78">
        <f>P59+P60+P61+P58+P62</f>
        <v>30</v>
      </c>
      <c r="W68" s="234"/>
      <c r="X68" s="230"/>
      <c r="Y68" s="234"/>
      <c r="Z68" s="227"/>
      <c r="AA68" s="224"/>
      <c r="AB68" s="258"/>
      <c r="AC68" s="259"/>
    </row>
    <row r="69" spans="1:29" ht="12.75" customHeight="1">
      <c r="A69" s="152"/>
      <c r="G69" s="194" t="s">
        <v>238</v>
      </c>
      <c r="H69" s="14">
        <v>2</v>
      </c>
      <c r="J69" s="14">
        <v>3</v>
      </c>
      <c r="K69" s="15">
        <f>H69*J69</f>
        <v>6</v>
      </c>
      <c r="L69" s="194" t="s">
        <v>238</v>
      </c>
      <c r="M69" s="14">
        <v>2</v>
      </c>
      <c r="O69" s="14">
        <v>2</v>
      </c>
      <c r="P69" s="14">
        <f>M69*O69</f>
        <v>4</v>
      </c>
      <c r="Q69" s="171">
        <f t="shared" si="19"/>
        <v>10</v>
      </c>
      <c r="R69" s="131">
        <f>SUM(Q65:Q69)+P57</f>
        <v>76</v>
      </c>
      <c r="S69" s="8"/>
      <c r="T69" s="232" t="s">
        <v>211</v>
      </c>
      <c r="U69" s="233"/>
      <c r="V69" s="78">
        <f>P84+P85+P86+'NORM-KOORD.2025-2026'!S17</f>
        <v>7</v>
      </c>
      <c r="W69" s="234"/>
      <c r="X69" s="231"/>
      <c r="Y69" s="234"/>
      <c r="Z69" s="228"/>
      <c r="AA69" s="225"/>
      <c r="AB69" s="258"/>
      <c r="AC69" s="259"/>
    </row>
    <row r="70" spans="1:29" ht="12.75" customHeight="1">
      <c r="A70" s="152"/>
      <c r="B70" s="21" t="s">
        <v>13</v>
      </c>
      <c r="C70" s="11">
        <v>1</v>
      </c>
      <c r="D70" s="11"/>
      <c r="E70" s="11">
        <v>1</v>
      </c>
      <c r="F70" s="12">
        <f t="shared" si="16"/>
        <v>1</v>
      </c>
      <c r="G70" s="21" t="s">
        <v>13</v>
      </c>
      <c r="H70" s="11">
        <v>1</v>
      </c>
      <c r="I70" s="11"/>
      <c r="J70" s="11">
        <v>3</v>
      </c>
      <c r="K70" s="12">
        <f>H70*J70</f>
        <v>3</v>
      </c>
      <c r="L70" s="10" t="s">
        <v>13</v>
      </c>
      <c r="M70" s="11">
        <v>1</v>
      </c>
      <c r="N70" s="11"/>
      <c r="O70" s="11">
        <v>2</v>
      </c>
      <c r="P70" s="12">
        <f t="shared" si="14"/>
        <v>2</v>
      </c>
      <c r="Q70" s="171">
        <f t="shared" si="19"/>
        <v>6</v>
      </c>
      <c r="R70" s="164">
        <f>F70+K70+P70</f>
        <v>6</v>
      </c>
      <c r="S70" s="8"/>
      <c r="T70" s="236" t="s">
        <v>234</v>
      </c>
      <c r="U70" s="237"/>
      <c r="V70" s="85">
        <f>SUM(V58:V69)</f>
        <v>361</v>
      </c>
      <c r="W70" s="187">
        <f>SUM(W57:W69)</f>
        <v>361</v>
      </c>
      <c r="X70" s="91">
        <f>X57+X62+X66</f>
        <v>326</v>
      </c>
      <c r="Y70" s="92">
        <f>Y57+Y62+Y66</f>
        <v>687</v>
      </c>
      <c r="Z70" s="99">
        <f>SUM(Z57:Z69)</f>
        <v>23</v>
      </c>
      <c r="AA70" s="99">
        <f>SUM(AA57:AA69)</f>
        <v>24</v>
      </c>
      <c r="AB70" s="151"/>
      <c r="AC70" s="198"/>
    </row>
    <row r="71" spans="1:29" ht="12.75" customHeight="1">
      <c r="A71" s="188"/>
      <c r="B71" s="21"/>
      <c r="C71" s="11"/>
      <c r="D71" s="11"/>
      <c r="E71" s="11"/>
      <c r="F71" s="11"/>
      <c r="G71" s="193"/>
      <c r="H71" s="88"/>
      <c r="I71" s="88"/>
      <c r="J71" s="88"/>
      <c r="K71" s="89"/>
      <c r="L71" s="193"/>
      <c r="M71" s="88"/>
      <c r="N71" s="88"/>
      <c r="O71" s="88"/>
      <c r="P71" s="88"/>
      <c r="Q71" s="171"/>
      <c r="R71" s="164"/>
      <c r="S71" s="96"/>
      <c r="T71" s="238" t="s">
        <v>108</v>
      </c>
      <c r="U71" s="239"/>
      <c r="V71" s="69">
        <f>V55+V70+V56</f>
        <v>1125</v>
      </c>
      <c r="W71" s="86"/>
      <c r="X71" s="93"/>
      <c r="Y71" s="90">
        <f>Y70+V55+V56</f>
        <v>1451</v>
      </c>
      <c r="Z71" s="99">
        <f>Z55+Z70</f>
        <v>60</v>
      </c>
      <c r="AA71" s="99">
        <f>AA55+AA70</f>
        <v>61</v>
      </c>
      <c r="AB71" s="150"/>
      <c r="AC71" s="198"/>
    </row>
    <row r="72" spans="1:29" ht="12.75" customHeight="1" thickBot="1">
      <c r="A72" s="6" t="s">
        <v>24</v>
      </c>
      <c r="B72" s="23"/>
      <c r="C72" s="17">
        <f>SUM(C50:C70)</f>
        <v>45</v>
      </c>
      <c r="D72" s="17"/>
      <c r="E72" s="17"/>
      <c r="F72" s="17">
        <f>SUM(F50:F70)</f>
        <v>45</v>
      </c>
      <c r="G72" s="23"/>
      <c r="H72" s="17">
        <f>SUM(H50:H71)</f>
        <v>45</v>
      </c>
      <c r="I72" s="17"/>
      <c r="J72" s="17"/>
      <c r="K72" s="18">
        <f>SUM(K50:K71)</f>
        <v>135</v>
      </c>
      <c r="L72" s="16"/>
      <c r="M72" s="105">
        <f>SUM(M50:M71)</f>
        <v>45</v>
      </c>
      <c r="N72" s="17"/>
      <c r="O72" s="17"/>
      <c r="P72" s="17">
        <f>SUM(P50:P71)</f>
        <v>90</v>
      </c>
      <c r="Q72" s="172">
        <f>SUM(Q50:Q71)</f>
        <v>270</v>
      </c>
      <c r="R72" s="162">
        <f>SUM(R50:R70)</f>
        <v>270</v>
      </c>
      <c r="S72" s="96"/>
      <c r="T72" s="232" t="s">
        <v>113</v>
      </c>
      <c r="U72" s="233"/>
      <c r="V72" s="94"/>
      <c r="W72" s="94"/>
      <c r="X72" s="95"/>
      <c r="Y72" s="94"/>
      <c r="Z72" s="102">
        <v>1</v>
      </c>
      <c r="AA72" s="102">
        <v>1</v>
      </c>
      <c r="AB72" s="103">
        <f>AA72-Z72</f>
        <v>0</v>
      </c>
      <c r="AC72" s="198" t="str">
        <f>IF(AB72&lt;0,"EKSİK",IF(AB72&gt;0,"FAZLA","-"))</f>
        <v>-</v>
      </c>
    </row>
    <row r="73" spans="1:29" ht="12.75" customHeight="1" thickBot="1">
      <c r="Q73" s="166"/>
      <c r="R73" s="166"/>
      <c r="S73" s="96"/>
      <c r="T73" s="232" t="s">
        <v>200</v>
      </c>
      <c r="U73" s="233"/>
      <c r="V73" s="94"/>
      <c r="W73" s="94"/>
      <c r="X73" s="95"/>
      <c r="Y73" s="94"/>
      <c r="Z73" s="102">
        <v>0</v>
      </c>
      <c r="AA73" s="102">
        <v>0</v>
      </c>
      <c r="AB73" s="178">
        <f t="shared" ref="AB73" si="20">AA73-Z73</f>
        <v>0</v>
      </c>
      <c r="AC73" s="198" t="str">
        <f>IF(AB73&lt;0,"EKSİK",IF(AB73&gt;0,"FAZLA","-"))</f>
        <v>-</v>
      </c>
    </row>
    <row r="74" spans="1:29" ht="12.75" customHeight="1" thickBot="1">
      <c r="A74" s="5" t="s">
        <v>0</v>
      </c>
      <c r="B74" s="248" t="s">
        <v>271</v>
      </c>
      <c r="C74" s="248"/>
      <c r="D74" s="248"/>
      <c r="E74" s="248"/>
      <c r="F74" s="248"/>
      <c r="G74" s="248" t="s">
        <v>269</v>
      </c>
      <c r="H74" s="248"/>
      <c r="I74" s="248"/>
      <c r="J74" s="248"/>
      <c r="K74" s="248"/>
      <c r="L74" s="248" t="s">
        <v>270</v>
      </c>
      <c r="M74" s="248"/>
      <c r="N74" s="248"/>
      <c r="O74" s="248"/>
      <c r="P74" s="248"/>
      <c r="Q74" s="286" t="s">
        <v>26</v>
      </c>
      <c r="R74" s="286" t="s">
        <v>17</v>
      </c>
      <c r="S74" s="96"/>
      <c r="T74" s="232" t="s">
        <v>114</v>
      </c>
      <c r="U74" s="233"/>
      <c r="V74" s="94"/>
      <c r="W74" s="94"/>
      <c r="X74" s="95"/>
      <c r="Y74" s="94"/>
      <c r="Z74" s="102">
        <v>5</v>
      </c>
      <c r="AA74" s="102">
        <v>5</v>
      </c>
      <c r="AB74" s="103">
        <f t="shared" ref="AB74:AB76" si="21">AA74-Z74</f>
        <v>0</v>
      </c>
      <c r="AC74" s="202" t="str">
        <f>IF(AB74&lt;0,"EKSİK",IF(AB74&gt;0,"FAZLA","-"))</f>
        <v>-</v>
      </c>
    </row>
    <row r="75" spans="1:29" ht="12.75" customHeight="1" thickBot="1">
      <c r="A75" s="147" t="s">
        <v>1</v>
      </c>
      <c r="B75" s="7" t="s">
        <v>160</v>
      </c>
      <c r="C75" s="2" t="s">
        <v>4</v>
      </c>
      <c r="D75" s="2" t="s">
        <v>5</v>
      </c>
      <c r="E75" s="2" t="s">
        <v>6</v>
      </c>
      <c r="F75" s="3" t="s">
        <v>26</v>
      </c>
      <c r="G75" s="7" t="s">
        <v>3</v>
      </c>
      <c r="H75" s="2" t="s">
        <v>4</v>
      </c>
      <c r="I75" s="2" t="s">
        <v>5</v>
      </c>
      <c r="J75" s="2" t="s">
        <v>6</v>
      </c>
      <c r="K75" s="3" t="s">
        <v>26</v>
      </c>
      <c r="L75" s="7" t="s">
        <v>147</v>
      </c>
      <c r="M75" s="2" t="s">
        <v>4</v>
      </c>
      <c r="N75" s="2" t="s">
        <v>5</v>
      </c>
      <c r="O75" s="2" t="s">
        <v>6</v>
      </c>
      <c r="P75" s="2" t="s">
        <v>26</v>
      </c>
      <c r="Q75" s="287"/>
      <c r="R75" s="287"/>
      <c r="S75" s="8"/>
      <c r="T75" s="232" t="s">
        <v>115</v>
      </c>
      <c r="U75" s="233"/>
      <c r="V75" s="94"/>
      <c r="W75" s="94"/>
      <c r="X75" s="95"/>
      <c r="Y75" s="94"/>
      <c r="Z75" s="102">
        <v>2</v>
      </c>
      <c r="AA75" s="102">
        <v>2</v>
      </c>
      <c r="AB75" s="103">
        <f t="shared" si="21"/>
        <v>0</v>
      </c>
      <c r="AC75" s="198" t="str">
        <f>IF(AB75&lt;0,"EKSİK",IF(AB75&gt;0,"FAZLA","-"))</f>
        <v>-</v>
      </c>
    </row>
    <row r="76" spans="1:29" ht="12.75" customHeight="1">
      <c r="A76" s="265" t="s">
        <v>15</v>
      </c>
      <c r="B76" s="21" t="s">
        <v>99</v>
      </c>
      <c r="C76" s="11">
        <v>5</v>
      </c>
      <c r="D76" s="11"/>
      <c r="E76" s="11">
        <v>1</v>
      </c>
      <c r="F76" s="89">
        <f t="shared" ref="F76:F80" si="22">C76*E76</f>
        <v>5</v>
      </c>
      <c r="G76" s="21" t="s">
        <v>99</v>
      </c>
      <c r="H76" s="11">
        <v>5</v>
      </c>
      <c r="I76" s="11"/>
      <c r="J76" s="11">
        <v>2</v>
      </c>
      <c r="K76" s="12">
        <f>H76*J76</f>
        <v>10</v>
      </c>
      <c r="L76" s="21" t="s">
        <v>99</v>
      </c>
      <c r="M76" s="11">
        <v>5</v>
      </c>
      <c r="N76" s="11"/>
      <c r="O76" s="11">
        <v>1</v>
      </c>
      <c r="P76" s="12">
        <f>M76*O76</f>
        <v>5</v>
      </c>
      <c r="Q76" s="164">
        <f>F76+K76+P76</f>
        <v>20</v>
      </c>
      <c r="R76" s="164"/>
      <c r="S76" s="8"/>
      <c r="T76" s="232" t="s">
        <v>117</v>
      </c>
      <c r="U76" s="233"/>
      <c r="V76" s="94"/>
      <c r="W76" s="94"/>
      <c r="X76" s="95"/>
      <c r="Y76" s="94"/>
      <c r="Z76" s="102">
        <v>0</v>
      </c>
      <c r="AA76" s="102">
        <v>3</v>
      </c>
      <c r="AB76" s="103">
        <f t="shared" si="21"/>
        <v>3</v>
      </c>
      <c r="AC76" s="198" t="str">
        <f t="shared" ref="AC76" si="23">IF(AB76&lt;0,"EKSİK",IF(AB76&gt;0,"FAZLA","-"))</f>
        <v>FAZLA</v>
      </c>
    </row>
    <row r="77" spans="1:29" ht="12.75" customHeight="1">
      <c r="A77" s="285"/>
      <c r="B77" s="10" t="s">
        <v>110</v>
      </c>
      <c r="C77" s="11">
        <v>2</v>
      </c>
      <c r="D77" s="11"/>
      <c r="E77" s="11">
        <v>1</v>
      </c>
      <c r="F77" s="89">
        <f t="shared" si="22"/>
        <v>2</v>
      </c>
      <c r="G77" s="10" t="s">
        <v>110</v>
      </c>
      <c r="H77" s="11">
        <v>2</v>
      </c>
      <c r="I77" s="11"/>
      <c r="J77" s="11">
        <v>2</v>
      </c>
      <c r="K77" s="12">
        <f>H77*J77</f>
        <v>4</v>
      </c>
      <c r="L77" s="10" t="s">
        <v>110</v>
      </c>
      <c r="M77" s="11">
        <v>2</v>
      </c>
      <c r="N77" s="11"/>
      <c r="O77" s="11">
        <v>1</v>
      </c>
      <c r="P77" s="12">
        <f>M77*O77</f>
        <v>2</v>
      </c>
      <c r="Q77" s="164">
        <f>F77+K77+P77</f>
        <v>8</v>
      </c>
      <c r="R77" s="164"/>
      <c r="S77" s="8"/>
      <c r="T77" s="232" t="s">
        <v>116</v>
      </c>
      <c r="U77" s="233"/>
      <c r="V77" s="94"/>
      <c r="W77" s="94"/>
      <c r="X77" s="95"/>
      <c r="Y77" s="94"/>
      <c r="Z77" s="180">
        <f>Z71+Z72+Z73+Z74+Z75+Z76</f>
        <v>68</v>
      </c>
      <c r="AA77" s="114">
        <f>AA71+AA72+AA73+AA74+AA75+AA76</f>
        <v>72</v>
      </c>
      <c r="AB77" s="103"/>
      <c r="AC77" s="198"/>
    </row>
    <row r="78" spans="1:29" ht="12.75" customHeight="1">
      <c r="A78" s="285"/>
      <c r="B78" s="10" t="s">
        <v>8</v>
      </c>
      <c r="C78" s="11">
        <v>2</v>
      </c>
      <c r="D78" s="11"/>
      <c r="E78" s="11">
        <v>1</v>
      </c>
      <c r="F78" s="89">
        <f t="shared" si="22"/>
        <v>2</v>
      </c>
      <c r="G78" s="10" t="s">
        <v>8</v>
      </c>
      <c r="H78" s="11">
        <v>2</v>
      </c>
      <c r="I78" s="11"/>
      <c r="J78" s="11">
        <v>2</v>
      </c>
      <c r="K78" s="12">
        <f>H78*J78</f>
        <v>4</v>
      </c>
      <c r="L78" s="10" t="s">
        <v>8</v>
      </c>
      <c r="M78" s="11">
        <v>2</v>
      </c>
      <c r="N78" s="11"/>
      <c r="O78" s="11">
        <v>1</v>
      </c>
      <c r="P78" s="12">
        <f>M78*O78</f>
        <v>2</v>
      </c>
      <c r="Q78" s="164">
        <f>F78+K78+P78</f>
        <v>8</v>
      </c>
      <c r="R78" s="164"/>
      <c r="S78" s="8"/>
      <c r="T78" s="82" t="s">
        <v>76</v>
      </c>
      <c r="U78" s="153" t="s">
        <v>94</v>
      </c>
      <c r="V78" s="153" t="s">
        <v>104</v>
      </c>
      <c r="W78" s="153" t="s">
        <v>105</v>
      </c>
      <c r="X78" s="235" t="s">
        <v>7</v>
      </c>
      <c r="Y78" s="235"/>
      <c r="Z78" s="249" t="s">
        <v>236</v>
      </c>
      <c r="AA78" s="250"/>
      <c r="AB78" s="250"/>
      <c r="AC78" s="251"/>
    </row>
    <row r="79" spans="1:29" ht="12.75" customHeight="1">
      <c r="A79" s="285"/>
      <c r="B79" s="10"/>
      <c r="C79" s="11"/>
      <c r="D79" s="11"/>
      <c r="E79" s="11"/>
      <c r="F79" s="89"/>
      <c r="G79" s="10"/>
      <c r="H79" s="11"/>
      <c r="I79" s="11"/>
      <c r="J79" s="11"/>
      <c r="K79" s="12"/>
      <c r="L79" s="10"/>
      <c r="M79" s="11"/>
      <c r="N79" s="11"/>
      <c r="O79" s="11"/>
      <c r="P79" s="12"/>
      <c r="Q79" s="164"/>
      <c r="R79" s="164"/>
      <c r="S79" s="8"/>
      <c r="T79" s="136" t="s">
        <v>187</v>
      </c>
      <c r="U79" s="134">
        <f>V7+V13+V18+V24</f>
        <v>17</v>
      </c>
      <c r="V79" s="134">
        <f>'NORM-KOORD.2025-2026'!S4+'NORM-KOORD.2025-2026'!S8+'NORM-KOORD.2025-2026'!S12+'NORM-KOORD.2025-2026'!S16</f>
        <v>15</v>
      </c>
      <c r="W79" s="134">
        <v>0</v>
      </c>
      <c r="X79" s="235">
        <f>U79+V79+W79</f>
        <v>32</v>
      </c>
      <c r="Y79" s="235"/>
      <c r="Z79" s="252"/>
      <c r="AA79" s="253"/>
      <c r="AB79" s="253"/>
      <c r="AC79" s="254"/>
    </row>
    <row r="80" spans="1:29" ht="12.75" customHeight="1">
      <c r="A80" s="152"/>
      <c r="B80" s="10" t="s">
        <v>92</v>
      </c>
      <c r="C80" s="11">
        <v>2</v>
      </c>
      <c r="D80" s="11"/>
      <c r="E80" s="11">
        <v>1</v>
      </c>
      <c r="F80" s="89">
        <f t="shared" si="22"/>
        <v>2</v>
      </c>
      <c r="G80" s="10" t="s">
        <v>92</v>
      </c>
      <c r="H80" s="11">
        <v>2</v>
      </c>
      <c r="I80" s="11"/>
      <c r="J80" s="11">
        <v>2</v>
      </c>
      <c r="K80" s="12">
        <f>H80*J80</f>
        <v>4</v>
      </c>
      <c r="L80" s="10" t="s">
        <v>92</v>
      </c>
      <c r="M80" s="11">
        <v>2</v>
      </c>
      <c r="N80" s="11"/>
      <c r="O80" s="11">
        <v>1</v>
      </c>
      <c r="P80" s="11">
        <f>M80*O80</f>
        <v>2</v>
      </c>
      <c r="Q80" s="164">
        <f>F80+K80+P80</f>
        <v>8</v>
      </c>
      <c r="R80" s="164">
        <f>SUM(Q76:Q80)</f>
        <v>44</v>
      </c>
      <c r="S80" s="8"/>
      <c r="T80" s="136" t="s">
        <v>79</v>
      </c>
      <c r="U80" s="134">
        <f>R13+R21+(Q13+Q13)</f>
        <v>329</v>
      </c>
      <c r="V80" s="134">
        <f>R15</f>
        <v>103</v>
      </c>
      <c r="W80" s="134">
        <f>R22</f>
        <v>0</v>
      </c>
      <c r="X80" s="235">
        <f>SUM(U80:W80)</f>
        <v>432</v>
      </c>
      <c r="Y80" s="235"/>
      <c r="Z80" s="252"/>
      <c r="AA80" s="253"/>
      <c r="AB80" s="253"/>
      <c r="AC80" s="254"/>
    </row>
    <row r="81" spans="1:29" ht="12.75" customHeight="1">
      <c r="A81" s="267" t="s">
        <v>16</v>
      </c>
      <c r="B81" s="26"/>
      <c r="C81" s="24"/>
      <c r="D81" s="24"/>
      <c r="E81" s="24"/>
      <c r="F81" s="25"/>
      <c r="G81" s="26"/>
      <c r="H81" s="24"/>
      <c r="I81" s="24"/>
      <c r="J81" s="24"/>
      <c r="K81" s="25"/>
      <c r="L81" s="26"/>
      <c r="M81" s="24"/>
      <c r="N81" s="24"/>
      <c r="O81" s="24"/>
      <c r="P81" s="24"/>
      <c r="Q81" s="160"/>
      <c r="R81" s="160"/>
      <c r="S81" s="8"/>
      <c r="T81" s="136" t="s">
        <v>29</v>
      </c>
      <c r="U81" s="134">
        <f>R37</f>
        <v>191</v>
      </c>
      <c r="V81" s="134">
        <f>R41</f>
        <v>117</v>
      </c>
      <c r="W81" s="134">
        <f>R45</f>
        <v>7</v>
      </c>
      <c r="X81" s="235">
        <f>SUM(U81:W81)</f>
        <v>315</v>
      </c>
      <c r="Y81" s="235"/>
      <c r="Z81" s="252"/>
      <c r="AA81" s="253"/>
      <c r="AB81" s="253"/>
      <c r="AC81" s="254"/>
    </row>
    <row r="82" spans="1:29" ht="12.75" customHeight="1">
      <c r="A82" s="268"/>
      <c r="B82" s="22"/>
      <c r="C82" s="19"/>
      <c r="D82" s="19"/>
      <c r="E82" s="19"/>
      <c r="F82" s="20"/>
      <c r="G82" s="22"/>
      <c r="H82" s="19"/>
      <c r="I82" s="19"/>
      <c r="J82" s="19"/>
      <c r="K82" s="20"/>
      <c r="L82" s="22"/>
      <c r="M82" s="19"/>
      <c r="N82" s="19"/>
      <c r="O82" s="19"/>
      <c r="P82" s="20"/>
      <c r="Q82" s="163"/>
      <c r="R82" s="163"/>
      <c r="S82" s="8"/>
      <c r="T82" s="136" t="s">
        <v>75</v>
      </c>
      <c r="U82" s="134">
        <f>R56+R69</f>
        <v>166</v>
      </c>
      <c r="V82" s="134">
        <f>R64</f>
        <v>98</v>
      </c>
      <c r="W82" s="135">
        <f>R70</f>
        <v>6</v>
      </c>
      <c r="X82" s="235">
        <f>SUM(U82:W82)</f>
        <v>270</v>
      </c>
      <c r="Y82" s="235"/>
      <c r="Z82" s="252"/>
      <c r="AA82" s="253"/>
      <c r="AB82" s="253"/>
      <c r="AC82" s="254"/>
    </row>
    <row r="83" spans="1:29" ht="12.75" customHeight="1">
      <c r="A83" s="269"/>
      <c r="B83" s="125" t="s">
        <v>131</v>
      </c>
      <c r="C83" s="27">
        <v>24</v>
      </c>
      <c r="D83" s="27"/>
      <c r="E83" s="27">
        <v>1</v>
      </c>
      <c r="F83" s="28">
        <f>C83*E83</f>
        <v>24</v>
      </c>
      <c r="G83" s="125" t="s">
        <v>131</v>
      </c>
      <c r="H83" s="27">
        <v>24</v>
      </c>
      <c r="I83" s="27"/>
      <c r="J83" s="27">
        <v>2</v>
      </c>
      <c r="K83" s="28">
        <f>H83*J83</f>
        <v>48</v>
      </c>
      <c r="L83" s="125" t="s">
        <v>131</v>
      </c>
      <c r="M83" s="27">
        <v>24</v>
      </c>
      <c r="N83" s="27"/>
      <c r="O83" s="27">
        <v>1</v>
      </c>
      <c r="P83" s="27">
        <f>M83*O83</f>
        <v>24</v>
      </c>
      <c r="Q83" s="81">
        <f t="shared" ref="Q83:Q88" si="24">F83+K83+P83</f>
        <v>96</v>
      </c>
      <c r="R83" s="146">
        <f>Q83+Q82</f>
        <v>96</v>
      </c>
      <c r="S83" s="8"/>
      <c r="T83" s="136" t="s">
        <v>31</v>
      </c>
      <c r="U83" s="134">
        <f>Q76+Q77+Q78+Q80</f>
        <v>44</v>
      </c>
      <c r="V83" s="134">
        <f>R84</f>
        <v>28</v>
      </c>
      <c r="W83" s="134">
        <f>R87</f>
        <v>4</v>
      </c>
      <c r="X83" s="235">
        <f>SUM(U83:W83)</f>
        <v>76</v>
      </c>
      <c r="Y83" s="235"/>
      <c r="Z83" s="252"/>
      <c r="AA83" s="253"/>
      <c r="AB83" s="253"/>
      <c r="AC83" s="254"/>
    </row>
    <row r="84" spans="1:29" ht="12.75" customHeight="1">
      <c r="A84" s="190" t="s">
        <v>14</v>
      </c>
      <c r="B84" s="77" t="s">
        <v>203</v>
      </c>
      <c r="C84" s="11">
        <v>3</v>
      </c>
      <c r="D84" s="11" t="s">
        <v>97</v>
      </c>
      <c r="E84" s="11">
        <v>1</v>
      </c>
      <c r="F84" s="12">
        <f>C84*E84</f>
        <v>3</v>
      </c>
      <c r="G84" s="77" t="s">
        <v>216</v>
      </c>
      <c r="H84" s="14">
        <v>7</v>
      </c>
      <c r="I84" s="14"/>
      <c r="J84" s="14">
        <v>2</v>
      </c>
      <c r="K84" s="15">
        <f>H84*J84</f>
        <v>14</v>
      </c>
      <c r="L84" s="77" t="s">
        <v>206</v>
      </c>
      <c r="M84" s="14">
        <v>2</v>
      </c>
      <c r="N84" s="14"/>
      <c r="O84" s="14">
        <v>1</v>
      </c>
      <c r="P84" s="14">
        <f>M84*O84</f>
        <v>2</v>
      </c>
      <c r="Q84" s="164">
        <f>F84+K84+P84</f>
        <v>19</v>
      </c>
      <c r="R84" s="181">
        <f>Q84+Q85+Q86</f>
        <v>28</v>
      </c>
      <c r="S84" s="96"/>
      <c r="T84" s="84" t="s">
        <v>106</v>
      </c>
      <c r="U84" s="154">
        <f>SUM(U79:U83)</f>
        <v>747</v>
      </c>
      <c r="V84" s="154">
        <f>SUM(V79:V83)</f>
        <v>361</v>
      </c>
      <c r="W84" s="154">
        <f>SUM(W79:W83)</f>
        <v>17</v>
      </c>
      <c r="X84" s="222">
        <f>SUM(U84:W84)</f>
        <v>1125</v>
      </c>
      <c r="Y84" s="222"/>
      <c r="Z84" s="252"/>
      <c r="AA84" s="253"/>
      <c r="AB84" s="253"/>
      <c r="AC84" s="254"/>
    </row>
    <row r="85" spans="1:29" ht="12.75" customHeight="1">
      <c r="A85" s="52"/>
      <c r="B85" s="77" t="s">
        <v>204</v>
      </c>
      <c r="C85" s="97">
        <v>2</v>
      </c>
      <c r="D85" s="11" t="s">
        <v>97</v>
      </c>
      <c r="E85" s="11">
        <v>1</v>
      </c>
      <c r="F85" s="12">
        <f>C85*E85</f>
        <v>2</v>
      </c>
      <c r="G85" s="77"/>
      <c r="H85" s="77"/>
      <c r="I85" s="77"/>
      <c r="J85" s="77"/>
      <c r="K85" s="15"/>
      <c r="L85" s="21" t="s">
        <v>207</v>
      </c>
      <c r="M85" s="11">
        <v>3</v>
      </c>
      <c r="N85" s="11" t="s">
        <v>23</v>
      </c>
      <c r="O85" s="11">
        <v>1</v>
      </c>
      <c r="P85" s="14">
        <f t="shared" ref="P85:P87" si="25">M85*O85</f>
        <v>3</v>
      </c>
      <c r="Q85" s="164">
        <f>F85+K85+P85</f>
        <v>5</v>
      </c>
      <c r="R85" s="164"/>
      <c r="S85" s="96"/>
      <c r="T85" s="82" t="s">
        <v>107</v>
      </c>
      <c r="U85" s="153"/>
      <c r="V85" s="153"/>
      <c r="W85" s="153"/>
      <c r="X85" s="247">
        <f>X70</f>
        <v>326</v>
      </c>
      <c r="Y85" s="235"/>
      <c r="Z85" s="252"/>
      <c r="AA85" s="253"/>
      <c r="AB85" s="253"/>
      <c r="AC85" s="254"/>
    </row>
    <row r="86" spans="1:29" ht="12.75" customHeight="1">
      <c r="A86" s="152"/>
      <c r="B86" s="77" t="s">
        <v>205</v>
      </c>
      <c r="C86" s="11">
        <v>2</v>
      </c>
      <c r="D86" s="11" t="s">
        <v>247</v>
      </c>
      <c r="E86" s="11">
        <v>1</v>
      </c>
      <c r="F86" s="12">
        <f>C86*E86</f>
        <v>2</v>
      </c>
      <c r="G86" s="21"/>
      <c r="H86" s="11"/>
      <c r="I86" s="11"/>
      <c r="J86" s="11"/>
      <c r="K86" s="12"/>
      <c r="L86" s="21" t="s">
        <v>237</v>
      </c>
      <c r="M86" s="11">
        <v>2</v>
      </c>
      <c r="N86" s="11"/>
      <c r="O86" s="11">
        <v>1</v>
      </c>
      <c r="P86" s="14">
        <f t="shared" si="25"/>
        <v>2</v>
      </c>
      <c r="Q86" s="164">
        <f>F86+K86+P86</f>
        <v>4</v>
      </c>
      <c r="R86" s="164"/>
      <c r="S86" s="96"/>
      <c r="T86" s="174" t="s">
        <v>108</v>
      </c>
      <c r="U86" s="175"/>
      <c r="V86" s="175"/>
      <c r="W86" s="175"/>
      <c r="X86" s="243">
        <f>X84+X85</f>
        <v>1451</v>
      </c>
      <c r="Y86" s="244"/>
      <c r="Z86" s="252"/>
      <c r="AA86" s="253"/>
      <c r="AB86" s="253"/>
      <c r="AC86" s="254"/>
    </row>
    <row r="87" spans="1:29">
      <c r="A87" s="152"/>
      <c r="B87" s="77" t="s">
        <v>13</v>
      </c>
      <c r="C87" s="11">
        <v>1</v>
      </c>
      <c r="D87" s="11"/>
      <c r="E87" s="11">
        <v>1</v>
      </c>
      <c r="F87" s="12">
        <f>C87*E87</f>
        <v>1</v>
      </c>
      <c r="G87" s="21" t="s">
        <v>13</v>
      </c>
      <c r="H87" s="11">
        <v>1</v>
      </c>
      <c r="I87" s="11"/>
      <c r="J87" s="11">
        <v>2</v>
      </c>
      <c r="K87" s="12">
        <f>H87*J87</f>
        <v>2</v>
      </c>
      <c r="L87" s="21" t="s">
        <v>13</v>
      </c>
      <c r="M87" s="11">
        <v>1</v>
      </c>
      <c r="N87" s="11"/>
      <c r="O87" s="11">
        <v>1</v>
      </c>
      <c r="P87" s="14">
        <f t="shared" si="25"/>
        <v>1</v>
      </c>
      <c r="Q87" s="164">
        <f t="shared" si="24"/>
        <v>4</v>
      </c>
      <c r="R87" s="164">
        <f>Q87</f>
        <v>4</v>
      </c>
      <c r="S87" s="96"/>
      <c r="T87" s="174" t="s">
        <v>210</v>
      </c>
      <c r="U87" s="191">
        <f>F14+F15+F16+K15+P14+P15+F38+F39+K38+P39+P40+F57+F58+F60+K57+P58+P59+P60+P61+P62+F84+F85+F86+P85+P86</f>
        <v>148</v>
      </c>
      <c r="V87" s="191"/>
      <c r="W87" s="191"/>
      <c r="X87" s="243"/>
      <c r="Y87" s="244"/>
      <c r="Z87" s="252"/>
      <c r="AA87" s="253"/>
      <c r="AB87" s="253"/>
      <c r="AC87" s="254"/>
    </row>
    <row r="88" spans="1:29" ht="15.75" thickBot="1">
      <c r="A88" s="6" t="s">
        <v>24</v>
      </c>
      <c r="B88" s="23"/>
      <c r="C88" s="17">
        <f>SUM(C76:C87)</f>
        <v>43</v>
      </c>
      <c r="D88" s="17"/>
      <c r="E88" s="17"/>
      <c r="F88" s="18">
        <f>SUM(F76:F87)</f>
        <v>43</v>
      </c>
      <c r="G88" s="23"/>
      <c r="H88" s="17">
        <f>SUM(H76:H87)</f>
        <v>43</v>
      </c>
      <c r="I88" s="17"/>
      <c r="J88" s="17"/>
      <c r="K88" s="18">
        <f>SUM(K76:K87)</f>
        <v>86</v>
      </c>
      <c r="L88" s="216"/>
      <c r="M88" s="17">
        <f>SUM(M76:M87)</f>
        <v>43</v>
      </c>
      <c r="N88" s="17"/>
      <c r="O88" s="17"/>
      <c r="P88" s="17">
        <f>SUM(P76:P87)</f>
        <v>43</v>
      </c>
      <c r="Q88" s="216">
        <f t="shared" si="24"/>
        <v>172</v>
      </c>
      <c r="R88" s="162">
        <f>SUM(R77:R87)</f>
        <v>172</v>
      </c>
      <c r="S88" s="96"/>
      <c r="T88" s="206"/>
      <c r="U88" s="207"/>
      <c r="V88" s="208"/>
      <c r="W88" s="208"/>
      <c r="X88" s="208"/>
      <c r="Y88" s="208"/>
      <c r="Z88" s="208"/>
      <c r="AA88" s="208"/>
      <c r="AB88" s="208"/>
      <c r="AC88" s="204"/>
    </row>
    <row r="89" spans="1:29" ht="15.75" thickBot="1">
      <c r="A89" s="209" t="s">
        <v>279</v>
      </c>
      <c r="B89" s="210"/>
      <c r="C89" s="210"/>
      <c r="D89" s="210"/>
      <c r="E89" s="210"/>
      <c r="F89" s="210"/>
      <c r="G89" s="211"/>
      <c r="H89" s="211"/>
      <c r="I89" s="211"/>
      <c r="J89" s="211"/>
      <c r="K89" s="44"/>
      <c r="L89" s="212" t="s">
        <v>273</v>
      </c>
      <c r="M89" s="213">
        <f>F14+F15+F16+F38+F39+F44+F57+F58+F60+F84+F85+F86+K44+P44</f>
        <v>60</v>
      </c>
      <c r="N89" s="213">
        <f>K15+K38+K57</f>
        <v>41</v>
      </c>
      <c r="O89" s="213">
        <f>P14+P15+P39+P40+P58+P59+P60+P61+P62+P85</f>
        <v>59</v>
      </c>
      <c r="P89" s="44"/>
      <c r="Q89" s="215">
        <f>SUM(M89:O89)</f>
        <v>160</v>
      </c>
      <c r="R89" s="214"/>
      <c r="S89" s="205"/>
      <c r="T89" s="68" t="s">
        <v>210</v>
      </c>
      <c r="U89" s="61" t="s">
        <v>275</v>
      </c>
      <c r="V89" s="71">
        <f>K15+K57</f>
        <v>33</v>
      </c>
      <c r="W89" s="71">
        <f>F14+F16+F38+F39+F57+F58+F60+F84+F85</f>
        <v>41</v>
      </c>
      <c r="X89" s="71">
        <f>K38+P39+P40+P14</f>
        <v>26</v>
      </c>
      <c r="Y89" s="71">
        <f>P15+P58+P59+P60+P61+P85+P62</f>
        <v>41</v>
      </c>
      <c r="Z89" s="71">
        <f>F15+F44+F86+K44+P44</f>
        <v>19</v>
      </c>
      <c r="AA89" s="68">
        <f>V89+W89+X89+Y89+Z89</f>
        <v>160</v>
      </c>
      <c r="AB89" s="217"/>
      <c r="AC89" s="218"/>
    </row>
    <row r="90" spans="1:29">
      <c r="B90" s="137"/>
      <c r="C90" s="137"/>
      <c r="D90" s="137"/>
      <c r="E90" s="137"/>
      <c r="F90" s="137"/>
      <c r="G90" s="137"/>
      <c r="H90" s="137"/>
    </row>
    <row r="91" spans="1:29">
      <c r="V91" s="133"/>
    </row>
    <row r="92" spans="1:29">
      <c r="V92" s="133"/>
    </row>
    <row r="93" spans="1:29">
      <c r="V93" s="133"/>
    </row>
    <row r="94" spans="1:29">
      <c r="V94" s="133"/>
    </row>
    <row r="95" spans="1:29">
      <c r="V95" s="133"/>
    </row>
    <row r="96" spans="1:29">
      <c r="V96" s="133"/>
    </row>
  </sheetData>
  <mergeCells count="197">
    <mergeCell ref="Z8:Z13"/>
    <mergeCell ref="AA8:AA13"/>
    <mergeCell ref="AB8:AB13"/>
    <mergeCell ref="AB14:AB20"/>
    <mergeCell ref="B25:F25"/>
    <mergeCell ref="G25:K25"/>
    <mergeCell ref="A1:AC1"/>
    <mergeCell ref="B2:F2"/>
    <mergeCell ref="G2:K2"/>
    <mergeCell ref="L2:P2"/>
    <mergeCell ref="Q2:Q3"/>
    <mergeCell ref="R2:R3"/>
    <mergeCell ref="T2:U2"/>
    <mergeCell ref="W2:Y2"/>
    <mergeCell ref="T3:U3"/>
    <mergeCell ref="W3:Y7"/>
    <mergeCell ref="Z3:Z7"/>
    <mergeCell ref="AA3:AA7"/>
    <mergeCell ref="AB3:AB7"/>
    <mergeCell ref="AC3:AC7"/>
    <mergeCell ref="A4:A12"/>
    <mergeCell ref="T4:U4"/>
    <mergeCell ref="T5:U5"/>
    <mergeCell ref="T6:U6"/>
    <mergeCell ref="T7:U7"/>
    <mergeCell ref="T8:U8"/>
    <mergeCell ref="T12:U12"/>
    <mergeCell ref="AA32:AA34"/>
    <mergeCell ref="AB32:AB34"/>
    <mergeCell ref="W26:Y28"/>
    <mergeCell ref="AC21:AC25"/>
    <mergeCell ref="T25:U25"/>
    <mergeCell ref="AC8:AC13"/>
    <mergeCell ref="Z14:Z20"/>
    <mergeCell ref="AA14:AA20"/>
    <mergeCell ref="AC14:AC20"/>
    <mergeCell ref="T23:U23"/>
    <mergeCell ref="T24:U24"/>
    <mergeCell ref="AA26:AA28"/>
    <mergeCell ref="AB26:AB28"/>
    <mergeCell ref="Z26:Z28"/>
    <mergeCell ref="Z21:Z25"/>
    <mergeCell ref="AA21:AA25"/>
    <mergeCell ref="AB21:AB25"/>
    <mergeCell ref="T30:U30"/>
    <mergeCell ref="T34:U34"/>
    <mergeCell ref="AC32:AC34"/>
    <mergeCell ref="Z29:Z31"/>
    <mergeCell ref="A14:A18"/>
    <mergeCell ref="T14:U14"/>
    <mergeCell ref="T15:U15"/>
    <mergeCell ref="T16:U16"/>
    <mergeCell ref="T17:U17"/>
    <mergeCell ref="T18:U18"/>
    <mergeCell ref="T21:U21"/>
    <mergeCell ref="T22:U22"/>
    <mergeCell ref="W8:Y13"/>
    <mergeCell ref="T9:U9"/>
    <mergeCell ref="T10:U10"/>
    <mergeCell ref="T11:U11"/>
    <mergeCell ref="T13:U13"/>
    <mergeCell ref="T19:U19"/>
    <mergeCell ref="W14:Y20"/>
    <mergeCell ref="W21:Y25"/>
    <mergeCell ref="L25:P25"/>
    <mergeCell ref="A27:A37"/>
    <mergeCell ref="T31:U31"/>
    <mergeCell ref="W49:Y49"/>
    <mergeCell ref="T40:U40"/>
    <mergeCell ref="T38:U38"/>
    <mergeCell ref="Q25:Q26"/>
    <mergeCell ref="R25:R26"/>
    <mergeCell ref="T27:U27"/>
    <mergeCell ref="T28:U28"/>
    <mergeCell ref="A38:A42"/>
    <mergeCell ref="T45:U45"/>
    <mergeCell ref="T46:U46"/>
    <mergeCell ref="T47:U47"/>
    <mergeCell ref="T44:U44"/>
    <mergeCell ref="W44:Y48"/>
    <mergeCell ref="T29:U29"/>
    <mergeCell ref="T43:U43"/>
    <mergeCell ref="T35:U35"/>
    <mergeCell ref="T32:U32"/>
    <mergeCell ref="T33:U33"/>
    <mergeCell ref="T26:U26"/>
    <mergeCell ref="W32:Y34"/>
    <mergeCell ref="W29:Y31"/>
    <mergeCell ref="W35:Y35"/>
    <mergeCell ref="T48:U48"/>
    <mergeCell ref="AC36:AC38"/>
    <mergeCell ref="T41:U41"/>
    <mergeCell ref="B48:F48"/>
    <mergeCell ref="G48:K48"/>
    <mergeCell ref="L48:P48"/>
    <mergeCell ref="Q48:Q49"/>
    <mergeCell ref="Z39:Z43"/>
    <mergeCell ref="AA39:AA43"/>
    <mergeCell ref="Z36:Z38"/>
    <mergeCell ref="R48:R49"/>
    <mergeCell ref="T49:U49"/>
    <mergeCell ref="AB36:AB38"/>
    <mergeCell ref="W36:Y38"/>
    <mergeCell ref="AC39:AC43"/>
    <mergeCell ref="AA44:AA48"/>
    <mergeCell ref="AA36:AA38"/>
    <mergeCell ref="W39:Y43"/>
    <mergeCell ref="AB44:AB48"/>
    <mergeCell ref="AC44:AC48"/>
    <mergeCell ref="AB39:AB43"/>
    <mergeCell ref="T37:U37"/>
    <mergeCell ref="T42:U42"/>
    <mergeCell ref="A50:A56"/>
    <mergeCell ref="A81:A83"/>
    <mergeCell ref="W50:Y50"/>
    <mergeCell ref="T52:U52"/>
    <mergeCell ref="T55:U55"/>
    <mergeCell ref="W55:Y55"/>
    <mergeCell ref="T50:U50"/>
    <mergeCell ref="T56:U56"/>
    <mergeCell ref="W56:Y56"/>
    <mergeCell ref="A57:A64"/>
    <mergeCell ref="A76:A79"/>
    <mergeCell ref="T61:U61"/>
    <mergeCell ref="T67:U67"/>
    <mergeCell ref="G74:K74"/>
    <mergeCell ref="L74:P74"/>
    <mergeCell ref="Q74:Q75"/>
    <mergeCell ref="R74:R75"/>
    <mergeCell ref="T57:U57"/>
    <mergeCell ref="Y66:Y69"/>
    <mergeCell ref="T51:U51"/>
    <mergeCell ref="T53:U53"/>
    <mergeCell ref="W51:Y54"/>
    <mergeCell ref="T60:U60"/>
    <mergeCell ref="T59:U59"/>
    <mergeCell ref="AC66:AC69"/>
    <mergeCell ref="AC57:AC61"/>
    <mergeCell ref="AB62:AB65"/>
    <mergeCell ref="AC62:AC65"/>
    <mergeCell ref="AA29:AA31"/>
    <mergeCell ref="AB29:AB31"/>
    <mergeCell ref="AC29:AC31"/>
    <mergeCell ref="AC26:AC28"/>
    <mergeCell ref="Z32:Z34"/>
    <mergeCell ref="Z44:Z48"/>
    <mergeCell ref="Z51:Z54"/>
    <mergeCell ref="AC51:AC54"/>
    <mergeCell ref="AB51:AB54"/>
    <mergeCell ref="AA51:AA54"/>
    <mergeCell ref="AB57:AB61"/>
    <mergeCell ref="T54:U54"/>
    <mergeCell ref="T39:U39"/>
    <mergeCell ref="T36:U36"/>
    <mergeCell ref="X86:Y86"/>
    <mergeCell ref="Y62:Y65"/>
    <mergeCell ref="X85:Y85"/>
    <mergeCell ref="B74:F74"/>
    <mergeCell ref="Z57:Z61"/>
    <mergeCell ref="X80:Y80"/>
    <mergeCell ref="X81:Y81"/>
    <mergeCell ref="X82:Y82"/>
    <mergeCell ref="X83:Y83"/>
    <mergeCell ref="Z62:Z65"/>
    <mergeCell ref="X79:Y79"/>
    <mergeCell ref="T73:U73"/>
    <mergeCell ref="Z78:AC87"/>
    <mergeCell ref="T77:U77"/>
    <mergeCell ref="X87:Y87"/>
    <mergeCell ref="T62:U62"/>
    <mergeCell ref="W62:W65"/>
    <mergeCell ref="X62:X65"/>
    <mergeCell ref="W57:W61"/>
    <mergeCell ref="AB66:AB69"/>
    <mergeCell ref="T64:U64"/>
    <mergeCell ref="T65:U65"/>
    <mergeCell ref="X84:Y84"/>
    <mergeCell ref="AA57:AA61"/>
    <mergeCell ref="Z66:Z69"/>
    <mergeCell ref="AA66:AA69"/>
    <mergeCell ref="Y57:Y61"/>
    <mergeCell ref="T58:U58"/>
    <mergeCell ref="T75:U75"/>
    <mergeCell ref="T69:U69"/>
    <mergeCell ref="T63:U63"/>
    <mergeCell ref="T74:U74"/>
    <mergeCell ref="T66:U66"/>
    <mergeCell ref="W66:W69"/>
    <mergeCell ref="X66:X69"/>
    <mergeCell ref="T76:U76"/>
    <mergeCell ref="X57:X61"/>
    <mergeCell ref="X78:Y78"/>
    <mergeCell ref="T70:U70"/>
    <mergeCell ref="T71:U71"/>
    <mergeCell ref="T72:U72"/>
    <mergeCell ref="AA62:AA65"/>
    <mergeCell ref="T68:U68"/>
  </mergeCells>
  <pageMargins left="0.11811023622047245" right="0.19685039370078741" top="0.15748031496062992" bottom="0.15748031496062992" header="0.15748031496062992" footer="0.15748031496062992"/>
  <pageSetup paperSize="9" scale="4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8"/>
  <sheetViews>
    <sheetView zoomScale="78" zoomScaleNormal="78" workbookViewId="0">
      <selection activeCell="L19" sqref="L19"/>
    </sheetView>
  </sheetViews>
  <sheetFormatPr defaultRowHeight="12.75"/>
  <cols>
    <col min="1" max="1" width="13.42578125" customWidth="1"/>
    <col min="2" max="2" width="11.85546875" bestFit="1" customWidth="1"/>
    <col min="3" max="3" width="5.85546875" bestFit="1" customWidth="1"/>
    <col min="4" max="4" width="12.42578125" customWidth="1"/>
    <col min="5" max="5" width="53.28515625" customWidth="1"/>
    <col min="6" max="6" width="29.7109375" bestFit="1" customWidth="1"/>
    <col min="7" max="7" width="7.42578125" customWidth="1"/>
    <col min="8" max="8" width="13.7109375" customWidth="1"/>
    <col min="9" max="9" width="4.5703125" customWidth="1"/>
    <col min="10" max="10" width="15.140625" customWidth="1"/>
    <col min="11" max="11" width="14.85546875" customWidth="1"/>
    <col min="12" max="12" width="8.5703125" bestFit="1" customWidth="1"/>
    <col min="13" max="13" width="10.140625" customWidth="1"/>
    <col min="14" max="14" width="7.85546875" customWidth="1"/>
    <col min="15" max="15" width="15.42578125" bestFit="1" customWidth="1"/>
    <col min="16" max="16" width="3.140625" customWidth="1"/>
    <col min="17" max="17" width="29.140625" customWidth="1"/>
    <col min="18" max="18" width="11.85546875" style="1" customWidth="1"/>
    <col min="19" max="19" width="10.28515625" style="1" customWidth="1"/>
    <col min="20" max="20" width="14.5703125" style="1" customWidth="1"/>
    <col min="21" max="21" width="11.85546875" bestFit="1" customWidth="1"/>
    <col min="22" max="22" width="12.140625" customWidth="1"/>
  </cols>
  <sheetData>
    <row r="1" spans="1:20" ht="15.75" customHeight="1">
      <c r="A1" s="338" t="s">
        <v>224</v>
      </c>
      <c r="B1" s="339"/>
      <c r="C1" s="340" t="s">
        <v>25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Q1" s="32" t="s">
        <v>27</v>
      </c>
      <c r="R1" s="33" t="s">
        <v>212</v>
      </c>
      <c r="S1" s="33" t="s">
        <v>187</v>
      </c>
      <c r="T1" s="33" t="s">
        <v>7</v>
      </c>
    </row>
    <row r="2" spans="1:20" ht="19.5" customHeight="1">
      <c r="A2" s="339"/>
      <c r="B2" s="339"/>
      <c r="C2" s="149" t="s">
        <v>35</v>
      </c>
      <c r="D2" s="58" t="s">
        <v>45</v>
      </c>
      <c r="E2" s="9" t="s">
        <v>38</v>
      </c>
      <c r="F2" s="9" t="s">
        <v>43</v>
      </c>
      <c r="G2" s="30" t="s">
        <v>36</v>
      </c>
      <c r="H2" s="9" t="s">
        <v>82</v>
      </c>
      <c r="I2" s="345" t="s">
        <v>46</v>
      </c>
      <c r="J2" s="346"/>
      <c r="K2" s="9" t="s">
        <v>202</v>
      </c>
      <c r="L2" s="71" t="s">
        <v>48</v>
      </c>
      <c r="M2" s="71" t="s">
        <v>7</v>
      </c>
      <c r="N2" s="71" t="s">
        <v>47</v>
      </c>
      <c r="O2" s="71" t="s">
        <v>81</v>
      </c>
      <c r="Q2" s="38" t="s">
        <v>137</v>
      </c>
      <c r="R2" s="176">
        <f>T3+T4+T5</f>
        <v>103</v>
      </c>
      <c r="S2" s="39"/>
      <c r="T2" s="39">
        <f t="shared" ref="T2:T6" si="0">R2</f>
        <v>103</v>
      </c>
    </row>
    <row r="3" spans="1:20" ht="19.5" customHeight="1">
      <c r="A3" s="339"/>
      <c r="B3" s="339"/>
      <c r="C3" s="149">
        <v>1</v>
      </c>
      <c r="D3" s="54" t="s">
        <v>2</v>
      </c>
      <c r="E3" s="40" t="s">
        <v>226</v>
      </c>
      <c r="F3" s="116">
        <v>1</v>
      </c>
      <c r="G3" s="117">
        <v>2</v>
      </c>
      <c r="H3" s="116">
        <v>24</v>
      </c>
      <c r="I3" s="347">
        <f>H3*G3</f>
        <v>48</v>
      </c>
      <c r="J3" s="348"/>
      <c r="K3" s="59">
        <v>0</v>
      </c>
      <c r="L3" s="59">
        <f>10+6</f>
        <v>16</v>
      </c>
      <c r="M3" s="59">
        <f>I3+L3+K3</f>
        <v>64</v>
      </c>
      <c r="N3" s="59">
        <v>5</v>
      </c>
      <c r="O3" s="118">
        <f>M3/N3</f>
        <v>12.8</v>
      </c>
      <c r="Q3" s="31" t="s">
        <v>2</v>
      </c>
      <c r="R3" s="37">
        <f>'DERSLER-2025-2026'!V58</f>
        <v>15</v>
      </c>
      <c r="S3" s="37"/>
      <c r="T3" s="37">
        <f>R3+S3</f>
        <v>15</v>
      </c>
    </row>
    <row r="4" spans="1:20" ht="19.5" customHeight="1">
      <c r="A4" s="339"/>
      <c r="B4" s="339"/>
      <c r="C4" s="149">
        <v>2</v>
      </c>
      <c r="D4" s="54" t="s">
        <v>3</v>
      </c>
      <c r="E4" s="40" t="s">
        <v>251</v>
      </c>
      <c r="F4" s="116">
        <v>4</v>
      </c>
      <c r="G4" s="117">
        <v>5</v>
      </c>
      <c r="H4" s="116">
        <v>24</v>
      </c>
      <c r="I4" s="347">
        <f>H4*G4</f>
        <v>120</v>
      </c>
      <c r="J4" s="348"/>
      <c r="K4" s="59">
        <f>1*(8*4)</f>
        <v>32</v>
      </c>
      <c r="L4" s="59">
        <f>10+6+6</f>
        <v>22</v>
      </c>
      <c r="M4" s="59">
        <f>I4+L4+K4</f>
        <v>174</v>
      </c>
      <c r="N4" s="59">
        <v>16</v>
      </c>
      <c r="O4" s="118">
        <f>M4/N4</f>
        <v>10.875</v>
      </c>
      <c r="Q4" s="31" t="s">
        <v>3</v>
      </c>
      <c r="R4" s="71">
        <f>'DERSLER-2025-2026'!V62-S4</f>
        <v>66</v>
      </c>
      <c r="S4" s="71">
        <v>0</v>
      </c>
      <c r="T4" s="37">
        <f t="shared" ref="T4:T5" si="1">R4+S4</f>
        <v>66</v>
      </c>
    </row>
    <row r="5" spans="1:20" ht="19.5" customHeight="1">
      <c r="A5" s="339"/>
      <c r="B5" s="339"/>
      <c r="C5" s="149">
        <v>3</v>
      </c>
      <c r="D5" s="54" t="s">
        <v>37</v>
      </c>
      <c r="E5" s="40" t="s">
        <v>257</v>
      </c>
      <c r="F5" s="116">
        <v>1</v>
      </c>
      <c r="G5" s="117">
        <v>3</v>
      </c>
      <c r="H5" s="116">
        <v>24</v>
      </c>
      <c r="I5" s="347">
        <f>H5*G5</f>
        <v>72</v>
      </c>
      <c r="J5" s="348"/>
      <c r="K5" s="59">
        <v>0</v>
      </c>
      <c r="L5" s="59">
        <f>10+6</f>
        <v>16</v>
      </c>
      <c r="M5" s="59">
        <f>I5+L5+K5</f>
        <v>88</v>
      </c>
      <c r="N5" s="59">
        <v>6</v>
      </c>
      <c r="O5" s="118">
        <f>M5/N5</f>
        <v>14.666666666666666</v>
      </c>
      <c r="Q5" s="31" t="s">
        <v>28</v>
      </c>
      <c r="R5" s="71">
        <f>'DERSLER-2025-2026'!V66</f>
        <v>22</v>
      </c>
      <c r="S5" s="71"/>
      <c r="T5" s="37">
        <f t="shared" si="1"/>
        <v>22</v>
      </c>
    </row>
    <row r="6" spans="1:20" ht="19.5" customHeight="1">
      <c r="A6" s="339"/>
      <c r="B6" s="339"/>
      <c r="D6" s="55" t="s">
        <v>7</v>
      </c>
      <c r="E6" s="104"/>
      <c r="F6" s="119">
        <f>SUM(F3:F5)</f>
        <v>6</v>
      </c>
      <c r="G6" s="119">
        <f>SUM(G3:G5)</f>
        <v>10</v>
      </c>
      <c r="H6" s="119"/>
      <c r="I6" s="349">
        <f>SUM(I3:J5)</f>
        <v>240</v>
      </c>
      <c r="J6" s="350"/>
      <c r="K6" s="120"/>
      <c r="L6" s="121">
        <f>SUM(L3:L5)</f>
        <v>54</v>
      </c>
      <c r="M6" s="122">
        <f>SUM(M3:M5)</f>
        <v>326</v>
      </c>
      <c r="N6" s="119">
        <f>SUM(N3:N5)</f>
        <v>27</v>
      </c>
      <c r="O6" s="123"/>
      <c r="Q6" s="38" t="s">
        <v>29</v>
      </c>
      <c r="R6" s="39">
        <f>T7+T8+T9</f>
        <v>117</v>
      </c>
      <c r="S6" s="39"/>
      <c r="T6" s="39">
        <f t="shared" si="0"/>
        <v>117</v>
      </c>
    </row>
    <row r="7" spans="1:20" ht="19.5" customHeight="1">
      <c r="A7" s="339"/>
      <c r="B7" s="339"/>
      <c r="D7" s="76" t="s">
        <v>189</v>
      </c>
      <c r="E7" s="60"/>
      <c r="F7" s="60"/>
      <c r="G7" s="46"/>
      <c r="H7" s="46"/>
      <c r="I7" s="46"/>
      <c r="J7" s="46"/>
      <c r="K7" s="46"/>
      <c r="L7" s="46"/>
      <c r="M7" s="46"/>
      <c r="N7" s="46"/>
      <c r="O7" s="45"/>
      <c r="Q7" s="31" t="s">
        <v>2</v>
      </c>
      <c r="R7" s="71">
        <f>'DERSLER-2025-2026'!V59</f>
        <v>31</v>
      </c>
      <c r="S7" s="71"/>
      <c r="T7" s="71">
        <f>R7+S7</f>
        <v>31</v>
      </c>
    </row>
    <row r="8" spans="1:20" ht="19.5" customHeight="1">
      <c r="A8" s="339"/>
      <c r="B8" s="339"/>
      <c r="D8" t="s">
        <v>136</v>
      </c>
      <c r="Q8" s="31" t="s">
        <v>3</v>
      </c>
      <c r="R8" s="71">
        <f>'DERSLER-2025-2026'!V63-S8</f>
        <v>52</v>
      </c>
      <c r="S8" s="71">
        <v>0</v>
      </c>
      <c r="T8" s="71">
        <f t="shared" ref="T8:T9" si="2">R8+S8</f>
        <v>52</v>
      </c>
    </row>
    <row r="9" spans="1:20" ht="19.5" customHeight="1">
      <c r="A9" s="339"/>
      <c r="B9" s="339"/>
      <c r="C9" s="341" t="s">
        <v>109</v>
      </c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2"/>
      <c r="Q9" s="31" t="s">
        <v>28</v>
      </c>
      <c r="R9" s="71">
        <f>'DERSLER-2025-2026'!V67</f>
        <v>34</v>
      </c>
      <c r="S9" s="71"/>
      <c r="T9" s="71">
        <f t="shared" si="2"/>
        <v>34</v>
      </c>
    </row>
    <row r="10" spans="1:20" ht="30" customHeight="1">
      <c r="A10" s="339"/>
      <c r="B10" s="339"/>
      <c r="C10" s="158" t="s">
        <v>35</v>
      </c>
      <c r="D10" s="31" t="s">
        <v>32</v>
      </c>
      <c r="E10" s="71" t="s">
        <v>222</v>
      </c>
      <c r="F10" s="74" t="s">
        <v>223</v>
      </c>
      <c r="G10" s="71" t="s">
        <v>48</v>
      </c>
      <c r="H10" s="72" t="s">
        <v>157</v>
      </c>
      <c r="I10" s="71" t="s">
        <v>96</v>
      </c>
      <c r="J10" s="71" t="s">
        <v>201</v>
      </c>
      <c r="K10" s="68" t="s">
        <v>40</v>
      </c>
      <c r="L10" s="71" t="s">
        <v>42</v>
      </c>
      <c r="M10" s="9" t="s">
        <v>41</v>
      </c>
      <c r="N10" s="9" t="s">
        <v>83</v>
      </c>
      <c r="O10" s="9" t="s">
        <v>49</v>
      </c>
      <c r="Q10" s="38" t="s">
        <v>30</v>
      </c>
      <c r="R10" s="39">
        <f>T11+T12+T13</f>
        <v>105</v>
      </c>
      <c r="S10" s="39"/>
      <c r="T10" s="39">
        <f>R10</f>
        <v>105</v>
      </c>
    </row>
    <row r="11" spans="1:20" ht="21.75" customHeight="1">
      <c r="A11" s="339"/>
      <c r="B11" s="339"/>
      <c r="C11" s="158">
        <v>1</v>
      </c>
      <c r="D11" s="31" t="s">
        <v>2</v>
      </c>
      <c r="E11" s="37">
        <f>'DERSLER-2025-2026'!V58+'DERSLER-2025-2026'!V59+'DERSLER-2025-2026'!V60+'DERSLER-2025-2026'!V61-7</f>
        <v>63</v>
      </c>
      <c r="F11" s="71">
        <f>(24+7)*G3</f>
        <v>62</v>
      </c>
      <c r="G11" s="71">
        <f>L3</f>
        <v>16</v>
      </c>
      <c r="H11" s="61">
        <f>E18</f>
        <v>41</v>
      </c>
      <c r="I11" s="61">
        <v>0</v>
      </c>
      <c r="J11" s="71">
        <v>0</v>
      </c>
      <c r="K11" s="37">
        <f>(E11+F11+G11+H11+J11)</f>
        <v>182</v>
      </c>
      <c r="L11" s="56">
        <f>K11/40</f>
        <v>4.55</v>
      </c>
      <c r="M11" s="71">
        <v>5</v>
      </c>
      <c r="N11" s="71">
        <f>N3</f>
        <v>5</v>
      </c>
      <c r="O11" s="71">
        <f>M11-N11</f>
        <v>0</v>
      </c>
      <c r="Q11" s="31" t="s">
        <v>2</v>
      </c>
      <c r="R11" s="71">
        <f>'DERSLER-2025-2026'!V60</f>
        <v>17</v>
      </c>
      <c r="S11" s="71"/>
      <c r="T11" s="71">
        <f>R11+S11</f>
        <v>17</v>
      </c>
    </row>
    <row r="12" spans="1:20" ht="21.75" customHeight="1">
      <c r="A12" s="339"/>
      <c r="B12" s="339"/>
      <c r="C12" s="158">
        <v>2</v>
      </c>
      <c r="D12" s="31" t="s">
        <v>3</v>
      </c>
      <c r="E12" s="37">
        <f>'DERSLER-2025-2026'!W62-14</f>
        <v>184</v>
      </c>
      <c r="F12" s="71">
        <f>(24+7+7)*G4</f>
        <v>190</v>
      </c>
      <c r="G12" s="71">
        <f>L4</f>
        <v>22</v>
      </c>
      <c r="H12" s="61">
        <f>E19</f>
        <v>57</v>
      </c>
      <c r="I12" s="61">
        <v>8</v>
      </c>
      <c r="J12" s="71">
        <f>K4</f>
        <v>32</v>
      </c>
      <c r="K12" s="37">
        <f>(E12+F12+G12+H12+J12)-I12</f>
        <v>477</v>
      </c>
      <c r="L12" s="56">
        <f>K12/40</f>
        <v>11.925000000000001</v>
      </c>
      <c r="M12" s="71">
        <v>12</v>
      </c>
      <c r="N12" s="71">
        <v>13</v>
      </c>
      <c r="O12" s="71">
        <f>M12-N12</f>
        <v>-1</v>
      </c>
      <c r="Q12" s="31" t="s">
        <v>3</v>
      </c>
      <c r="R12" s="71">
        <f>'DERSLER-2025-2026'!V64-S12</f>
        <v>51</v>
      </c>
      <c r="S12" s="71">
        <v>7</v>
      </c>
      <c r="T12" s="71">
        <f>R12+S12</f>
        <v>58</v>
      </c>
    </row>
    <row r="13" spans="1:20" ht="21.75" customHeight="1">
      <c r="A13" s="339"/>
      <c r="B13" s="339"/>
      <c r="C13" s="158">
        <v>3</v>
      </c>
      <c r="D13" s="31" t="s">
        <v>50</v>
      </c>
      <c r="E13" s="71">
        <f>'DERSLER-2025-2026'!W66-7</f>
        <v>86</v>
      </c>
      <c r="F13" s="71">
        <f>(24+7)*G5</f>
        <v>93</v>
      </c>
      <c r="G13" s="71">
        <f>L5</f>
        <v>16</v>
      </c>
      <c r="H13" s="61">
        <f>E25</f>
        <v>65</v>
      </c>
      <c r="I13" s="61">
        <v>6</v>
      </c>
      <c r="J13" s="71">
        <v>0</v>
      </c>
      <c r="K13" s="37">
        <f>(E13+F13+G13+H13+J13)-I13</f>
        <v>254</v>
      </c>
      <c r="L13" s="56">
        <f>K13/40</f>
        <v>6.35</v>
      </c>
      <c r="M13" s="71">
        <v>6</v>
      </c>
      <c r="N13" s="71">
        <v>6</v>
      </c>
      <c r="O13" s="71">
        <f t="shared" ref="O13" si="3">M13-N13</f>
        <v>0</v>
      </c>
      <c r="Q13" s="31" t="s">
        <v>28</v>
      </c>
      <c r="R13" s="71">
        <f>'DERSLER-2025-2026'!V68</f>
        <v>30</v>
      </c>
      <c r="S13" s="71"/>
      <c r="T13" s="71">
        <f t="shared" ref="T13" si="4">R13+S13</f>
        <v>30</v>
      </c>
    </row>
    <row r="14" spans="1:20" ht="21.75" customHeight="1">
      <c r="A14" s="339"/>
      <c r="B14" s="339"/>
      <c r="D14" s="41" t="s">
        <v>7</v>
      </c>
      <c r="E14" s="115">
        <f>SUM(E11:E13)</f>
        <v>333</v>
      </c>
      <c r="F14" s="57">
        <f>SUM(F11:F13)</f>
        <v>345</v>
      </c>
      <c r="G14" s="57">
        <f>SUM(G11:G13)</f>
        <v>54</v>
      </c>
      <c r="H14" s="61">
        <f>SUM(H11:H13)</f>
        <v>163</v>
      </c>
      <c r="I14" s="189">
        <v>8</v>
      </c>
      <c r="J14" s="71" t="s">
        <v>132</v>
      </c>
      <c r="K14" s="87">
        <f>SUM(K11:K13)</f>
        <v>913</v>
      </c>
      <c r="L14" s="56"/>
      <c r="M14" s="71">
        <f>SUM(M11:M13)</f>
        <v>23</v>
      </c>
      <c r="N14" s="71">
        <f>SUM(N11:N13)</f>
        <v>24</v>
      </c>
      <c r="O14" s="31"/>
      <c r="Q14" s="38" t="s">
        <v>31</v>
      </c>
      <c r="R14" s="39">
        <f>T15+T16+T17</f>
        <v>36</v>
      </c>
      <c r="S14" s="39"/>
      <c r="T14" s="39">
        <f>R14</f>
        <v>36</v>
      </c>
    </row>
    <row r="15" spans="1:20" ht="19.5" customHeight="1">
      <c r="A15" s="339"/>
      <c r="B15" s="339"/>
      <c r="E15" s="68" t="s">
        <v>95</v>
      </c>
      <c r="F15" s="343">
        <f>F14+G14</f>
        <v>399</v>
      </c>
      <c r="G15" s="344"/>
      <c r="H15" s="1"/>
      <c r="Q15" s="31" t="s">
        <v>2</v>
      </c>
      <c r="R15" s="71">
        <f>'DERSLER-2025-2026'!F84+'DERSLER-2025-2026'!F85+'DERSLER-2025-2026'!F86</f>
        <v>7</v>
      </c>
      <c r="S15" s="71"/>
      <c r="T15" s="71">
        <f>R15+S15</f>
        <v>7</v>
      </c>
    </row>
    <row r="16" spans="1:20" ht="19.5" customHeight="1">
      <c r="D16" s="53" t="s">
        <v>44</v>
      </c>
      <c r="E16" s="1"/>
      <c r="F16" s="1"/>
      <c r="G16" s="1"/>
      <c r="Q16" s="31" t="s">
        <v>3</v>
      </c>
      <c r="R16" s="71">
        <f>'DERSLER-2025-2026'!K84+'DERSLER-2025-2026'!K85</f>
        <v>14</v>
      </c>
      <c r="S16" s="71">
        <v>8</v>
      </c>
      <c r="T16" s="71">
        <f>R16+S16</f>
        <v>22</v>
      </c>
    </row>
    <row r="17" spans="1:20" ht="19.5" customHeight="1" thickBot="1">
      <c r="A17" s="108" t="s">
        <v>125</v>
      </c>
      <c r="B17" s="109" t="s">
        <v>126</v>
      </c>
      <c r="C17" s="143" t="s">
        <v>127</v>
      </c>
      <c r="D17" s="142" t="s">
        <v>156</v>
      </c>
      <c r="E17" t="s">
        <v>46</v>
      </c>
      <c r="Q17" s="31" t="s">
        <v>28</v>
      </c>
      <c r="R17" s="71">
        <f>'DERSLER-2025-2026'!P84+'DERSLER-2025-2026'!P85+'DERSLER-2025-2026'!P86</f>
        <v>7</v>
      </c>
      <c r="S17" s="71"/>
      <c r="T17" s="71">
        <f>R17+S17</f>
        <v>7</v>
      </c>
    </row>
    <row r="18" spans="1:20" ht="19.5" customHeight="1" thickTop="1" thickBot="1">
      <c r="A18" s="196" t="s">
        <v>148</v>
      </c>
      <c r="B18" s="148">
        <v>2</v>
      </c>
      <c r="C18" s="144">
        <v>11</v>
      </c>
      <c r="D18" s="1">
        <f>IF(B18&lt;2,0,C18)</f>
        <v>11</v>
      </c>
      <c r="E18" s="106">
        <f>D18+D27+D34+D40</f>
        <v>41</v>
      </c>
      <c r="F18" s="351" t="s">
        <v>84</v>
      </c>
      <c r="G18" s="352"/>
      <c r="H18" s="353"/>
      <c r="I18" s="68">
        <f>M6</f>
        <v>326</v>
      </c>
      <c r="J18" s="68" t="s">
        <v>33</v>
      </c>
      <c r="Q18" s="47" t="s">
        <v>39</v>
      </c>
      <c r="R18" s="177">
        <f>R6+R10+R14+R2</f>
        <v>361</v>
      </c>
      <c r="S18" s="48"/>
      <c r="T18" s="124">
        <f>T6+T10+T14+T2</f>
        <v>361</v>
      </c>
    </row>
    <row r="19" spans="1:20" ht="17.25" customHeight="1" thickTop="1">
      <c r="A19" s="196" t="s">
        <v>149</v>
      </c>
      <c r="B19" s="148">
        <v>2</v>
      </c>
      <c r="C19" s="144">
        <v>11</v>
      </c>
      <c r="D19" s="1">
        <f t="shared" ref="D19:D38" si="5">IF(B19&lt;2,0,C19)</f>
        <v>11</v>
      </c>
      <c r="E19" s="106">
        <f>D19+D20+D21+D22+D23+D24+D28+D29+D30+D31+D36+D41+D42</f>
        <v>57</v>
      </c>
      <c r="F19" s="31" t="s">
        <v>254</v>
      </c>
      <c r="G19" s="111"/>
      <c r="H19" s="110"/>
      <c r="I19" s="71">
        <v>24</v>
      </c>
      <c r="J19" s="71" t="s">
        <v>33</v>
      </c>
      <c r="R19"/>
      <c r="S19"/>
      <c r="T19"/>
    </row>
    <row r="20" spans="1:20" ht="17.25" customHeight="1">
      <c r="A20" s="196" t="s">
        <v>155</v>
      </c>
      <c r="B20" s="148">
        <v>2</v>
      </c>
      <c r="C20" s="144">
        <v>11</v>
      </c>
      <c r="D20" s="1">
        <f t="shared" si="5"/>
        <v>11</v>
      </c>
      <c r="E20" s="106"/>
      <c r="F20" s="31" t="s">
        <v>252</v>
      </c>
      <c r="G20" s="31"/>
      <c r="H20" s="31"/>
      <c r="I20" s="71"/>
      <c r="J20" s="71" t="s">
        <v>33</v>
      </c>
      <c r="Q20" s="34" t="s">
        <v>34</v>
      </c>
      <c r="R20" s="35"/>
      <c r="S20" s="35"/>
      <c r="T20" s="36"/>
    </row>
    <row r="21" spans="1:20" ht="17.25" customHeight="1">
      <c r="A21" s="196" t="s">
        <v>150</v>
      </c>
      <c r="B21" s="148">
        <v>2</v>
      </c>
      <c r="C21" s="144">
        <v>11</v>
      </c>
      <c r="D21" s="1">
        <f t="shared" si="5"/>
        <v>11</v>
      </c>
      <c r="E21" s="106"/>
      <c r="F21" s="31" t="s">
        <v>277</v>
      </c>
      <c r="G21" s="31"/>
      <c r="H21" s="31"/>
      <c r="I21" s="71"/>
      <c r="J21" s="71" t="s">
        <v>33</v>
      </c>
      <c r="Q21" s="31" t="s">
        <v>2</v>
      </c>
      <c r="R21" s="37">
        <f>T3+T7+T11+T15</f>
        <v>70</v>
      </c>
      <c r="S21" s="37"/>
      <c r="T21" s="37">
        <f>R21</f>
        <v>70</v>
      </c>
    </row>
    <row r="22" spans="1:20" ht="17.25" customHeight="1">
      <c r="A22" s="196" t="s">
        <v>219</v>
      </c>
      <c r="B22" s="148">
        <v>2</v>
      </c>
      <c r="C22" s="144">
        <v>11</v>
      </c>
      <c r="D22" s="1">
        <f t="shared" si="5"/>
        <v>11</v>
      </c>
      <c r="E22" s="106"/>
      <c r="F22" s="73" t="s">
        <v>89</v>
      </c>
      <c r="G22" s="73"/>
      <c r="H22" s="73"/>
      <c r="I22" s="68">
        <f>I18-(I19+I20+I21)</f>
        <v>302</v>
      </c>
      <c r="J22" s="68" t="s">
        <v>33</v>
      </c>
      <c r="Q22" s="31" t="s">
        <v>3</v>
      </c>
      <c r="R22" s="37">
        <f>T4+T8+T12+T16</f>
        <v>198</v>
      </c>
      <c r="S22" s="71"/>
      <c r="T22" s="71">
        <f>R22</f>
        <v>198</v>
      </c>
    </row>
    <row r="23" spans="1:20" ht="17.25" customHeight="1">
      <c r="A23" s="196" t="s">
        <v>220</v>
      </c>
      <c r="B23" s="148">
        <v>0</v>
      </c>
      <c r="C23" s="144">
        <v>11</v>
      </c>
      <c r="D23" s="1">
        <f t="shared" si="5"/>
        <v>0</v>
      </c>
      <c r="E23" s="106"/>
      <c r="F23" s="41" t="s">
        <v>217</v>
      </c>
      <c r="G23" s="31"/>
      <c r="H23" s="31"/>
      <c r="I23" s="71">
        <f>I24+I25+I26+I27+I28</f>
        <v>30</v>
      </c>
      <c r="J23" s="9" t="s">
        <v>85</v>
      </c>
      <c r="Q23" s="31" t="s">
        <v>28</v>
      </c>
      <c r="R23" s="37">
        <f>T5+T9+T13+T17</f>
        <v>93</v>
      </c>
      <c r="S23" s="71"/>
      <c r="T23" s="71">
        <f>R23</f>
        <v>93</v>
      </c>
    </row>
    <row r="24" spans="1:20" ht="17.25" customHeight="1">
      <c r="A24" s="196" t="s">
        <v>213</v>
      </c>
      <c r="B24" s="148">
        <v>0</v>
      </c>
      <c r="C24" s="144">
        <v>11</v>
      </c>
      <c r="D24" s="1">
        <f t="shared" ref="D24" si="6">IF(B24&lt;2,0,C24)</f>
        <v>0</v>
      </c>
      <c r="E24" s="106"/>
      <c r="F24" s="334" t="s">
        <v>86</v>
      </c>
      <c r="G24" s="335"/>
      <c r="H24" s="158" t="s">
        <v>255</v>
      </c>
      <c r="I24" s="332">
        <v>5</v>
      </c>
      <c r="J24" s="333"/>
      <c r="Q24" s="49" t="s">
        <v>7</v>
      </c>
      <c r="R24" s="37">
        <f>SUM(R21:R23)</f>
        <v>361</v>
      </c>
      <c r="S24" s="71"/>
      <c r="T24" s="57">
        <f>SUM(T21:T23)</f>
        <v>361</v>
      </c>
    </row>
    <row r="25" spans="1:20" ht="17.25" customHeight="1">
      <c r="A25" s="196" t="s">
        <v>151</v>
      </c>
      <c r="B25" s="148">
        <v>2</v>
      </c>
      <c r="C25" s="144">
        <v>11</v>
      </c>
      <c r="D25" s="1">
        <f t="shared" si="5"/>
        <v>11</v>
      </c>
      <c r="E25" s="106">
        <f>D25+D26+D32+D33+D38+D39+D43</f>
        <v>65</v>
      </c>
      <c r="F25" s="334" t="s">
        <v>87</v>
      </c>
      <c r="G25" s="335"/>
      <c r="H25" s="158" t="s">
        <v>278</v>
      </c>
      <c r="I25" s="332">
        <v>16</v>
      </c>
      <c r="J25" s="333"/>
      <c r="Q25" s="32" t="s">
        <v>32</v>
      </c>
      <c r="R25" s="33" t="s">
        <v>33</v>
      </c>
      <c r="S25" s="33"/>
      <c r="T25" s="33" t="s">
        <v>0</v>
      </c>
    </row>
    <row r="26" spans="1:20" ht="17.25" customHeight="1">
      <c r="A26" s="196" t="s">
        <v>152</v>
      </c>
      <c r="B26" s="148">
        <v>2</v>
      </c>
      <c r="C26" s="144">
        <v>11</v>
      </c>
      <c r="D26" s="1">
        <f t="shared" si="5"/>
        <v>11</v>
      </c>
      <c r="F26" s="334" t="s">
        <v>88</v>
      </c>
      <c r="G26" s="335"/>
      <c r="H26" s="158" t="s">
        <v>259</v>
      </c>
      <c r="I26" s="332">
        <v>6</v>
      </c>
      <c r="J26" s="333"/>
      <c r="Q26" s="31" t="s">
        <v>2</v>
      </c>
      <c r="R26" s="37">
        <f>T21</f>
        <v>70</v>
      </c>
      <c r="S26" s="37"/>
      <c r="T26" s="37">
        <f>R26/I24</f>
        <v>14</v>
      </c>
    </row>
    <row r="27" spans="1:20" ht="17.25" customHeight="1">
      <c r="A27" s="107" t="s">
        <v>120</v>
      </c>
      <c r="B27" s="1">
        <v>4</v>
      </c>
      <c r="C27" s="144">
        <v>13</v>
      </c>
      <c r="D27" s="1">
        <f t="shared" si="5"/>
        <v>13</v>
      </c>
      <c r="E27" s="145"/>
      <c r="F27" s="336" t="s">
        <v>256</v>
      </c>
      <c r="G27" s="337"/>
      <c r="H27" s="158"/>
      <c r="I27" s="332"/>
      <c r="J27" s="333"/>
      <c r="Q27" s="31" t="s">
        <v>3</v>
      </c>
      <c r="R27" s="71">
        <f>T22</f>
        <v>198</v>
      </c>
      <c r="S27" s="71"/>
      <c r="T27" s="37">
        <f>R27/I25</f>
        <v>12.375</v>
      </c>
    </row>
    <row r="28" spans="1:20" ht="17.25" customHeight="1">
      <c r="A28" s="107" t="s">
        <v>121</v>
      </c>
      <c r="B28" s="1">
        <v>2</v>
      </c>
      <c r="C28" s="144">
        <v>13</v>
      </c>
      <c r="D28" s="1">
        <f t="shared" si="5"/>
        <v>13</v>
      </c>
      <c r="E28" s="145"/>
      <c r="F28" s="156" t="s">
        <v>90</v>
      </c>
      <c r="G28" s="157"/>
      <c r="H28" s="158">
        <v>3</v>
      </c>
      <c r="I28" s="332">
        <v>3</v>
      </c>
      <c r="J28" s="333"/>
      <c r="Q28" s="31" t="s">
        <v>28</v>
      </c>
      <c r="R28" s="71">
        <f>T23</f>
        <v>93</v>
      </c>
      <c r="S28" s="71"/>
      <c r="T28" s="37">
        <f>R28/I26</f>
        <v>15.5</v>
      </c>
    </row>
    <row r="29" spans="1:20" ht="17.25" customHeight="1">
      <c r="A29" s="107" t="s">
        <v>122</v>
      </c>
      <c r="B29" s="1">
        <v>1</v>
      </c>
      <c r="C29" s="144">
        <v>13</v>
      </c>
      <c r="D29" s="1">
        <f t="shared" si="5"/>
        <v>0</v>
      </c>
      <c r="E29" s="106"/>
      <c r="F29" s="58" t="s">
        <v>138</v>
      </c>
      <c r="G29" s="126"/>
      <c r="H29" s="127"/>
      <c r="I29" s="37">
        <f>I22/I23</f>
        <v>10.066666666666666</v>
      </c>
      <c r="J29" s="71" t="s">
        <v>33</v>
      </c>
      <c r="Q29" s="219" t="s">
        <v>276</v>
      </c>
      <c r="R29" s="71"/>
      <c r="S29" s="71"/>
      <c r="T29" s="37"/>
    </row>
    <row r="30" spans="1:20" ht="17.25" customHeight="1">
      <c r="A30" s="107" t="s">
        <v>225</v>
      </c>
      <c r="B30" s="1">
        <v>0</v>
      </c>
      <c r="C30" s="144">
        <v>13</v>
      </c>
      <c r="D30" s="1">
        <f t="shared" ref="D30" si="7">IF(B30&lt;2,0,C30)</f>
        <v>0</v>
      </c>
      <c r="E30" s="145"/>
      <c r="F30" s="128" t="s">
        <v>168</v>
      </c>
      <c r="G30" s="129"/>
      <c r="H30" s="130"/>
      <c r="I30" s="68">
        <v>10</v>
      </c>
      <c r="J30" s="68" t="s">
        <v>33</v>
      </c>
    </row>
    <row r="31" spans="1:20" ht="17.25" customHeight="1">
      <c r="A31" s="107" t="s">
        <v>214</v>
      </c>
      <c r="B31" s="1">
        <v>0</v>
      </c>
      <c r="C31" s="144">
        <v>13</v>
      </c>
      <c r="D31" s="1">
        <f t="shared" ref="D31" si="8">IF(B31&lt;2,0,C31)</f>
        <v>0</v>
      </c>
    </row>
    <row r="32" spans="1:20" ht="17.25" customHeight="1">
      <c r="A32" s="107" t="s">
        <v>153</v>
      </c>
      <c r="B32" s="1">
        <v>4</v>
      </c>
      <c r="C32" s="144">
        <v>13</v>
      </c>
      <c r="D32" s="1">
        <f t="shared" si="5"/>
        <v>13</v>
      </c>
    </row>
    <row r="33" spans="1:5" ht="17.25" customHeight="1">
      <c r="A33" s="107" t="s">
        <v>192</v>
      </c>
      <c r="B33" s="1">
        <v>3</v>
      </c>
      <c r="C33" s="144">
        <v>13</v>
      </c>
      <c r="D33" s="1">
        <f t="shared" si="5"/>
        <v>13</v>
      </c>
      <c r="E33" s="145"/>
    </row>
    <row r="34" spans="1:5" ht="17.25" customHeight="1">
      <c r="A34" s="196" t="s">
        <v>123</v>
      </c>
      <c r="B34" s="1">
        <v>3</v>
      </c>
      <c r="C34" s="144">
        <v>17</v>
      </c>
      <c r="D34" s="1">
        <f t="shared" si="5"/>
        <v>17</v>
      </c>
      <c r="E34" s="145"/>
    </row>
    <row r="35" spans="1:5" ht="17.25" customHeight="1">
      <c r="A35" s="196" t="s">
        <v>250</v>
      </c>
      <c r="B35" s="1">
        <v>0</v>
      </c>
      <c r="C35" s="144">
        <v>17</v>
      </c>
      <c r="D35" s="1">
        <f t="shared" si="5"/>
        <v>0</v>
      </c>
      <c r="E35" s="145"/>
    </row>
    <row r="36" spans="1:5" ht="17.25" customHeight="1">
      <c r="A36" s="196" t="s">
        <v>124</v>
      </c>
      <c r="B36" s="1">
        <v>0</v>
      </c>
      <c r="C36" s="144">
        <v>17</v>
      </c>
      <c r="D36" s="1">
        <f t="shared" si="5"/>
        <v>0</v>
      </c>
      <c r="E36" s="145"/>
    </row>
    <row r="37" spans="1:5" ht="17.25" customHeight="1">
      <c r="A37" s="196" t="s">
        <v>272</v>
      </c>
      <c r="B37" s="1">
        <v>0</v>
      </c>
      <c r="C37" s="144">
        <v>17</v>
      </c>
      <c r="D37" s="1">
        <f t="shared" ref="D37" si="9">IF(B37&lt;2,0,C37)</f>
        <v>0</v>
      </c>
      <c r="E37" s="145"/>
    </row>
    <row r="38" spans="1:5" ht="17.25" customHeight="1">
      <c r="A38" s="196" t="s">
        <v>154</v>
      </c>
      <c r="B38" s="1">
        <v>1</v>
      </c>
      <c r="C38" s="144">
        <v>17</v>
      </c>
      <c r="D38" s="1">
        <f t="shared" si="5"/>
        <v>0</v>
      </c>
      <c r="E38" s="145"/>
    </row>
    <row r="39" spans="1:5" ht="17.25" customHeight="1">
      <c r="A39" s="196" t="s">
        <v>215</v>
      </c>
      <c r="B39" s="1">
        <v>2</v>
      </c>
      <c r="C39" s="144">
        <v>17</v>
      </c>
      <c r="D39" s="1">
        <f t="shared" ref="D39" si="10">IF(B39&lt;2,0,C39)</f>
        <v>17</v>
      </c>
      <c r="E39" s="145"/>
    </row>
    <row r="40" spans="1:5" ht="17.25" customHeight="1">
      <c r="A40" s="107" t="s">
        <v>146</v>
      </c>
      <c r="B40" s="1">
        <v>0</v>
      </c>
      <c r="C40" s="144">
        <v>7</v>
      </c>
      <c r="D40" s="1">
        <v>0</v>
      </c>
      <c r="E40" s="145"/>
    </row>
    <row r="41" spans="1:5" ht="17.25" customHeight="1">
      <c r="A41" s="107" t="s">
        <v>144</v>
      </c>
      <c r="B41" s="1">
        <v>0</v>
      </c>
      <c r="C41" s="144">
        <v>7</v>
      </c>
      <c r="D41" s="1">
        <v>0</v>
      </c>
      <c r="E41" s="145"/>
    </row>
    <row r="42" spans="1:5" ht="17.25" customHeight="1">
      <c r="A42" s="107" t="s">
        <v>145</v>
      </c>
      <c r="B42" s="1">
        <v>0</v>
      </c>
      <c r="C42" s="144">
        <v>7</v>
      </c>
      <c r="D42" s="1">
        <v>0</v>
      </c>
    </row>
    <row r="43" spans="1:5" ht="17.25" customHeight="1">
      <c r="A43" s="107" t="s">
        <v>258</v>
      </c>
      <c r="B43" s="1">
        <v>4</v>
      </c>
      <c r="C43" s="144">
        <v>7</v>
      </c>
      <c r="D43" s="1">
        <v>0</v>
      </c>
      <c r="E43" s="106">
        <f>SUM(E18:E42)</f>
        <v>163</v>
      </c>
    </row>
    <row r="44" spans="1:5" ht="17.25" customHeight="1">
      <c r="B44" s="141">
        <f>SUM(B18:B43)</f>
        <v>38</v>
      </c>
      <c r="C44" s="1">
        <f>SUM(C18:C43)</f>
        <v>320</v>
      </c>
      <c r="D44" s="141">
        <f>SUM(D18:D43)</f>
        <v>163</v>
      </c>
    </row>
    <row r="45" spans="1:5" ht="17.25" customHeight="1">
      <c r="B45" s="179" t="s">
        <v>253</v>
      </c>
    </row>
    <row r="46" spans="1:5" ht="17.25" customHeight="1"/>
    <row r="47" spans="1:5" ht="17.25" customHeight="1"/>
    <row r="48" spans="1:5" ht="18" customHeight="1"/>
  </sheetData>
  <mergeCells count="19">
    <mergeCell ref="A1:B15"/>
    <mergeCell ref="C1:O1"/>
    <mergeCell ref="C9:O9"/>
    <mergeCell ref="F15:G15"/>
    <mergeCell ref="F24:G24"/>
    <mergeCell ref="I24:J24"/>
    <mergeCell ref="I2:J2"/>
    <mergeCell ref="I3:J3"/>
    <mergeCell ref="I4:J4"/>
    <mergeCell ref="I5:J5"/>
    <mergeCell ref="I6:J6"/>
    <mergeCell ref="F18:H18"/>
    <mergeCell ref="I28:J28"/>
    <mergeCell ref="F25:G25"/>
    <mergeCell ref="I25:J25"/>
    <mergeCell ref="F26:G26"/>
    <mergeCell ref="I26:J26"/>
    <mergeCell ref="F27:G27"/>
    <mergeCell ref="I27:J27"/>
  </mergeCells>
  <pageMargins left="0.11811023622047245" right="0" top="0.86614173228346458" bottom="0.23622047244094491" header="0.31496062992125984" footer="0.15748031496062992"/>
  <pageSetup paperSize="9" scale="5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DERSLER-2025-2026</vt:lpstr>
      <vt:lpstr>NORM-KOORD.2025-2026</vt:lpstr>
      <vt:lpstr>'DERSLER-2025-2026'!Yazdırma_Alanı</vt:lpstr>
      <vt:lpstr>'NORM-KOORD.2025-2026'!Yazdırma_Alanı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</dc:creator>
  <cp:lastModifiedBy>pc</cp:lastModifiedBy>
  <cp:lastPrinted>2025-08-14T09:33:26Z</cp:lastPrinted>
  <dcterms:created xsi:type="dcterms:W3CDTF">2011-08-18T13:16:22Z</dcterms:created>
  <dcterms:modified xsi:type="dcterms:W3CDTF">2025-09-05T18:20:47Z</dcterms:modified>
</cp:coreProperties>
</file>